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5" i="26" l="1"/>
  <c r="L27" i="26"/>
  <c r="L16" i="26"/>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X18" i="9"/>
  <c r="AY18" i="9"/>
  <c r="BA18" i="9"/>
  <c r="BL18" i="9"/>
  <c r="BM18" i="9"/>
  <c r="BN18" i="9"/>
  <c r="BO18" i="9"/>
  <c r="BR18" i="9"/>
  <c r="I19" i="9"/>
  <c r="AX19" i="9"/>
  <c r="AY19" i="9"/>
  <c r="BA19" i="9"/>
  <c r="BL19" i="9"/>
  <c r="BM19" i="9"/>
  <c r="BN19" i="9"/>
  <c r="BO19" i="9"/>
  <c r="BR19" i="9"/>
  <c r="I20" i="9"/>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AA116" i="28"/>
  <c r="V188" i="28"/>
  <c r="V172" i="28"/>
  <c r="T153" i="28"/>
  <c r="W141" i="28"/>
  <c r="Y136" i="28"/>
  <c r="Y132" i="28"/>
  <c r="AA127" i="28"/>
  <c r="W125" i="28"/>
  <c r="W121" i="28"/>
  <c r="W117"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AU18" i="9" s="1"/>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AU19" i="9" l="1"/>
  <c r="AV19" i="9" s="1"/>
  <c r="AV18" i="9"/>
  <c r="AU20" i="9"/>
  <c r="AV20" i="9" s="1"/>
  <c r="BW102" i="9"/>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M2" i="31"/>
  <c r="G2" i="38"/>
  <c r="I2" i="39"/>
  <c r="S55" i="20"/>
  <c r="S8" i="20"/>
  <c r="S23"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M2" i="19"/>
  <c r="M2" i="30"/>
  <c r="I2" i="38"/>
  <c r="I2" i="19"/>
  <c r="H2" i="7"/>
  <c r="N2" i="7"/>
  <c r="I2" i="10"/>
  <c r="I2" i="20"/>
  <c r="G2" i="29"/>
  <c r="I2" i="30"/>
  <c r="M2" i="20"/>
  <c r="M2" i="9"/>
  <c r="M2" i="10"/>
  <c r="G2" i="16"/>
  <c r="I2" i="9"/>
  <c r="S199" i="31"/>
  <c r="M2" i="38"/>
  <c r="G2" i="26"/>
  <c r="G2" i="20"/>
  <c r="M2" i="39"/>
  <c r="G2" i="28"/>
  <c r="I2" i="16"/>
  <c r="M2" i="16"/>
  <c r="J2" i="7"/>
  <c r="G2" i="9"/>
  <c r="G2" i="19"/>
  <c r="M2" i="29"/>
  <c r="S258" i="31"/>
  <c r="D55" i="20"/>
  <c r="D8" i="20"/>
  <c r="G2" i="10"/>
  <c r="G2" i="30"/>
  <c r="G2" i="39"/>
  <c r="M2" i="26"/>
  <c r="G2" i="31"/>
  <c r="S52" i="2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38"/>
  <c r="K2" i="9"/>
  <c r="I2" i="28"/>
  <c r="K2" i="26"/>
  <c r="S38" i="20"/>
  <c r="S42" i="20"/>
  <c r="K2" i="30"/>
  <c r="K2" i="16"/>
  <c r="K2" i="20"/>
  <c r="K2" i="31"/>
  <c r="K2" i="19"/>
  <c r="K2" i="10"/>
  <c r="S51" i="20"/>
  <c r="K2" i="29"/>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S43" i="20"/>
  <c r="D52" i="20"/>
  <c r="D51" i="20"/>
  <c r="D42" i="20"/>
  <c r="S557" i="26" l="1"/>
  <c r="S430" i="26"/>
  <c r="S621" i="26"/>
  <c r="S493" i="26"/>
  <c r="S494" i="26" s="1"/>
  <c r="T46" i="20"/>
  <c r="T47" i="20" s="1"/>
  <c r="K34" i="30"/>
  <c r="J34" i="30"/>
  <c r="E43" i="20"/>
  <c r="S45" i="20"/>
  <c r="S44" i="20"/>
  <c r="S47" i="20"/>
  <c r="S622" i="26" l="1"/>
  <c r="S623" i="26" s="1"/>
  <c r="S558" i="26"/>
  <c r="S495" i="26"/>
  <c r="L49" i="30"/>
  <c r="M49" i="30" s="1"/>
  <c r="J49" i="30"/>
  <c r="L34" i="30"/>
  <c r="E45" i="20"/>
  <c r="S46" i="20"/>
  <c r="E44"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3" i="20"/>
  <c r="S28" i="20"/>
  <c r="S35"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32" i="20"/>
  <c r="S24" i="20"/>
  <c r="E33" i="20"/>
  <c r="S36" i="20"/>
  <c r="D28" i="20"/>
  <c r="S26" i="20"/>
  <c r="D23" i="20"/>
  <c r="S40" i="20"/>
  <c r="C3" i="4" l="1"/>
  <c r="H60" i="20" s="1"/>
  <c r="D38" i="20"/>
  <c r="E40" i="20"/>
  <c r="D35" i="20"/>
  <c r="S39" i="20"/>
  <c r="E24" i="20"/>
  <c r="E36" i="20"/>
  <c r="S25" i="20"/>
  <c r="E26" i="20"/>
  <c r="D32" i="20"/>
  <c r="T16" i="20" l="1"/>
  <c r="S2" i="31"/>
  <c r="G106" i="3"/>
  <c r="G104" i="3"/>
  <c r="G103" i="3"/>
  <c r="G102" i="3"/>
  <c r="G101" i="3"/>
  <c r="G98" i="3"/>
  <c r="G97" i="3"/>
  <c r="G93" i="3"/>
  <c r="G92" i="3"/>
  <c r="G91" i="3"/>
  <c r="G89" i="3"/>
  <c r="G90" i="3"/>
  <c r="S61" i="10"/>
  <c r="S16" i="20"/>
  <c r="E25" i="20"/>
  <c r="E39"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S30" i="20"/>
  <c r="D16"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S18" i="20"/>
  <c r="S29" i="20"/>
  <c r="E30"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E20"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2" i="20"/>
  <c r="D14" i="20"/>
  <c r="E21" i="20"/>
  <c r="S10"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R165" i="29" l="1"/>
  <c r="R383" i="29"/>
  <c r="V342"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H17" i="16" l="1"/>
  <c r="L17" i="16" s="1"/>
  <c r="I16" i="16"/>
  <c r="I17" i="16" s="1"/>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U112" i="28" l="1"/>
  <c r="Z112" i="28"/>
  <c r="R112" i="28"/>
  <c r="X112" i="28"/>
  <c r="AA112" i="28"/>
  <c r="T112" i="28"/>
  <c r="V112" i="28"/>
  <c r="W112" i="28"/>
  <c r="S112" i="28"/>
  <c r="Y112"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F105" i="3"/>
  <c r="B133" i="3"/>
  <c r="L133" i="3"/>
  <c r="E133" i="3"/>
  <c r="J133" i="3"/>
  <c r="C133" i="3"/>
  <c r="I133" i="3"/>
  <c r="F133" i="3"/>
  <c r="Q133" i="3"/>
  <c r="R133" i="3"/>
  <c r="S133" i="3"/>
  <c r="M133" i="3"/>
  <c r="P133" i="3"/>
  <c r="O133" i="3"/>
  <c r="K133" i="3"/>
  <c r="N133" i="3"/>
  <c r="H133" i="3"/>
  <c r="Q105" i="3"/>
  <c r="D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99" i="3"/>
  <c r="F98" i="3"/>
  <c r="Q106" i="3"/>
  <c r="Q95" i="3"/>
  <c r="F100" i="3"/>
  <c r="F104" i="3"/>
  <c r="F93" i="3"/>
  <c r="Q96" i="3"/>
  <c r="Q92" i="3"/>
  <c r="F91" i="3"/>
  <c r="Q94" i="3"/>
  <c r="F106" i="3"/>
  <c r="F97" i="3"/>
  <c r="F89" i="3"/>
  <c r="Q101" i="3"/>
  <c r="F92" i="3"/>
  <c r="Q91" i="3"/>
  <c r="Q100" i="3"/>
  <c r="F102" i="3"/>
  <c r="F95" i="3"/>
  <c r="Q102" i="3"/>
  <c r="F103" i="3"/>
  <c r="F96" i="3"/>
  <c r="Q99" i="3"/>
  <c r="Q93" i="3"/>
  <c r="F90" i="3"/>
  <c r="Q103" i="3"/>
  <c r="Q104" i="3"/>
  <c r="Q98" i="3"/>
  <c r="Q97" i="3"/>
  <c r="F94" i="3"/>
  <c r="F101" i="3"/>
  <c r="Q90" i="3"/>
  <c r="Q89"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246"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95" i="7"/>
  <c r="AE170" i="7" l="1"/>
  <c r="N193" i="7"/>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543" i="29"/>
  <c r="E13" i="26"/>
  <c r="E15" i="29"/>
  <c r="E310" i="29"/>
  <c r="E411" i="29"/>
  <c r="E134" i="29"/>
  <c r="E143" i="26"/>
  <c r="E266" i="29"/>
  <c r="E502" i="26"/>
  <c r="E530" i="29"/>
  <c r="E47" i="26"/>
  <c r="E618" i="29"/>
  <c r="E372" i="26"/>
  <c r="E574" i="29"/>
  <c r="E631" i="29"/>
  <c r="E499" i="29"/>
  <c r="E191" i="29"/>
  <c r="E46" i="29"/>
  <c r="E307" i="26"/>
  <c r="E455" i="29"/>
  <c r="E442" i="29"/>
  <c r="E273" i="26"/>
  <c r="E78" i="26"/>
  <c r="E222" i="29"/>
  <c r="E90" i="29"/>
  <c r="E750" i="29"/>
  <c r="D6" i="28"/>
  <c r="E706" i="29"/>
  <c r="H2" i="28"/>
  <c r="E468" i="26"/>
  <c r="E567" i="26"/>
  <c r="E719" i="29"/>
  <c r="E59" i="29"/>
  <c r="E632" i="26"/>
  <c r="E662" i="29"/>
  <c r="E675" i="29"/>
  <c r="I2" i="29"/>
  <c r="E147" i="29"/>
  <c r="E807" i="29"/>
  <c r="E403" i="26"/>
  <c r="E437" i="26"/>
  <c r="E242" i="26"/>
  <c r="E208" i="26"/>
  <c r="I2" i="26"/>
  <c r="E338" i="26"/>
  <c r="E103" i="29"/>
  <c r="E10" i="29"/>
  <c r="E838" i="29"/>
  <c r="E794" i="29"/>
  <c r="E763" i="29"/>
  <c r="E177" i="26"/>
  <c r="E354" i="29"/>
  <c r="E533" i="26"/>
  <c r="E323" i="29"/>
  <c r="E598" i="26"/>
  <c r="D10" i="9"/>
  <c r="E882" i="29"/>
  <c r="E279" i="29"/>
  <c r="E367" i="29"/>
  <c r="E112" i="26"/>
  <c r="E486" i="29"/>
  <c r="E587" i="29"/>
  <c r="E398" i="29"/>
  <c r="E235" i="29"/>
  <c r="E178" i="29"/>
  <c r="E851" i="29"/>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<sst xmlns="http://schemas.openxmlformats.org/spreadsheetml/2006/main" count="7344" uniqueCount="4275">
  <si>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</si>
  <si>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</si>
  <si>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</si>
  <si>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</si>
  <si>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</si>
  <si>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</si>
  <si>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</si>
  <si>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</si>
  <si>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</si>
  <si>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</si>
  <si>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</si>
  <si>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</si>
  <si>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</si>
  <si>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</si>
  <si>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</si>
  <si>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</si>
  <si>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</si>
  <si>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</si>
  <si>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</si>
  <si>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</si>
  <si>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</si>
  <si>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</si>
  <si>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</si>
  <si>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</si>
  <si>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</si>
  <si>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</si>
  <si>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</si>
  <si>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</si>
  <si>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</si>
  <si>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</si>
  <si>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</si>
  <si>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</si>
  <si>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</si>
  <si>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</si>
  <si>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</si>
  <si>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</si>
  <si>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</si>
  <si>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</si>
  <si>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</si>
  <si>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</si>
  <si>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</si>
  <si>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</si>
  <si>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</si>
  <si>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</si>
  <si>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</si>
  <si>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</si>
  <si>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</si>
  <si>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</si>
  <si>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</si>
  <si>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</si>
  <si>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</si>
  <si>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</si>
  <si>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</si>
  <si>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</si>
  <si>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</si>
  <si>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</si>
  <si>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</si>
  <si>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</si>
  <si>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</si>
  <si>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</si>
  <si>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</si>
  <si>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</si>
  <si>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</si>
  <si>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</si>
  <si>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</si>
  <si>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</si>
  <si>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</si>
  <si>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</si>
  <si>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</si>
  <si>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</si>
  <si>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</si>
  <si>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</si>
  <si>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</si>
  <si>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</si>
  <si>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</si>
  <si>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</si>
  <si>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</si>
  <si>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</si>
  <si>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</si>
  <si>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</si>
  <si>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</si>
  <si>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</si>
  <si>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</si>
  <si>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</si>
  <si>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</si>
  <si>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</si>
  <si>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</si>
  <si>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</si>
  <si>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</si>
  <si>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</si>
  <si>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</si>
  <si>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</si>
  <si>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</si>
  <si>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</si>
  <si>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</si>
  <si>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</si>
  <si>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</si>
  <si>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</si>
  <si>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</si>
  <si>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</si>
  <si>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</si>
  <si>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</si>
  <si>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</si>
  <si>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</si>
  <si>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</si>
  <si>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</si>
  <si>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</si>
  <si>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</si>
  <si>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</si>
  <si>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</si>
  <si>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</si>
  <si>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</si>
  <si>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</si>
  <si>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</si>
  <si>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</si>
  <si>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</si>
  <si>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</si>
  <si>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</si>
  <si>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</si>
  <si>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</si>
  <si>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</si>
  <si>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</si>
  <si>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</si>
  <si>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</si>
  <si>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</si>
  <si>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</si>
  <si>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</si>
  <si>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</si>
  <si>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</si>
  <si>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</si>
  <si>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</si>
  <si>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</si>
  <si>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</si>
  <si>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</si>
  <si>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</si>
  <si>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</si>
  <si>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</si>
  <si>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</si>
  <si>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</si>
  <si>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</si>
  <si>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</si>
  <si>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</si>
  <si>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</si>
  <si>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</si>
  <si>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</si>
  <si>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</si>
  <si>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</si>
  <si>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</si>
  <si>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</si>
  <si>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</si>
  <si>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</si>
  <si>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</si>
  <si>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</si>
  <si>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</si>
  <si>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</si>
  <si>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</si>
  <si>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</si>
  <si>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</si>
  <si>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</si>
  <si>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</si>
  <si>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</si>
  <si>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</si>
  <si>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</si>
  <si>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</si>
  <si>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</si>
  <si>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</si>
  <si>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</si>
  <si>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</si>
  <si>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</si>
  <si>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</si>
  <si>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</si>
  <si>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</si>
  <si>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</si>
  <si>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</si>
  <si>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</si>
  <si>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</si>
  <si>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</si>
  <si>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</si>
  <si>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</si>
  <si>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</si>
  <si>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</si>
  <si>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</si>
  <si>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</si>
  <si>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</si>
  <si>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</si>
  <si>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</si>
  <si>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</si>
  <si>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</si>
  <si>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</si>
  <si>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</si>
  <si>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</si>
  <si>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</si>
  <si>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</si>
  <si>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</si>
  <si>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</si>
  <si>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</si>
  <si>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</si>
  <si>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</si>
  <si>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</si>
  <si>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</si>
  <si>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</si>
  <si>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</si>
  <si>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</si>
  <si>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</si>
  <si>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</si>
  <si>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</si>
  <si>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</si>
  <si>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</si>
  <si>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</si>
  <si>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</si>
  <si>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</si>
  <si>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</si>
  <si>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</si>
  <si>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</si>
  <si>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</si>
  <si>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</si>
  <si>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</si>
  <si>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</si>
  <si>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</si>
  <si>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</si>
  <si>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</si>
  <si>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</si>
  <si>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</si>
  <si>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</si>
  <si>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</si>
  <si>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</si>
  <si>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</si>
  <si>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</si>
  <si>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</si>
  <si>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</si>
  <si>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</si>
  <si>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</si>
  <si>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</si>
  <si>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</si>
  <si>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</si>
  <si>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</si>
  <si>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</si>
  <si>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</si>
  <si>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</si>
  <si>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</si>
  <si>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</si>
  <si>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</si>
  <si>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</si>
  <si>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</si>
  <si>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</si>
  <si>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</si>
  <si>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</si>
  <si>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</si>
  <si>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</si>
  <si>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</si>
  <si>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</si>
  <si>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</si>
  <si>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</si>
  <si>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</si>
  <si>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</si>
  <si>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</si>
  <si>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</si>
  <si>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</si>
  <si>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</si>
  <si>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</si>
  <si>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</si>
  <si>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</si>
  <si>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</si>
  <si>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</si>
  <si>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</si>
  <si>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</si>
  <si>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</si>
  <si>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</si>
  <si>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</si>
  <si>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</si>
  <si>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</si>
  <si>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</si>
  <si>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</si>
  <si>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</si>
  <si>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</si>
  <si>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</si>
  <si>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</si>
  <si>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</si>
  <si>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</si>
  <si>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</si>
  <si>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</si>
  <si>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</si>
  <si>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</si>
  <si>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</si>
  <si>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</si>
  <si>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</si>
  <si>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</si>
  <si>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</si>
  <si>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</si>
  <si>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</si>
  <si>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</si>
  <si>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</si>
  <si>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</si>
  <si>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</si>
  <si>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</si>
  <si>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</si>
  <si>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</si>
  <si>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</si>
  <si>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</si>
  <si>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</si>
  <si>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</si>
  <si>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</si>
  <si>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</si>
  <si>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</si>
  <si>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</si>
  <si>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</si>
  <si>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</si>
  <si>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</si>
  <si>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</si>
  <si>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</si>
  <si>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</si>
  <si>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</si>
  <si>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</si>
  <si>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</si>
  <si>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</si>
  <si>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</si>
  <si>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</si>
  <si>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</si>
  <si>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</si>
  <si>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</si>
  <si>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</si>
  <si>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</si>
  <si>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</si>
  <si>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</si>
  <si>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</si>
  <si>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</si>
  <si>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</si>
  <si>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</si>
  <si>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</si>
  <si>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</si>
  <si>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</si>
  <si>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</si>
  <si>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</si>
  <si>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</si>
  <si>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</si>
  <si>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</si>
  <si>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</si>
  <si>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</si>
  <si>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</si>
  <si>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</si>
  <si>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</si>
  <si>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</si>
  <si>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</si>
  <si>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</si>
  <si>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</si>
  <si>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</si>
  <si>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</si>
  <si>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</si>
  <si>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</si>
  <si>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</si>
  <si>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</si>
  <si>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</si>
  <si>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</si>
  <si>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</si>
  <si>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</si>
  <si>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</si>
  <si>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</si>
  <si>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</si>
  <si>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</si>
  <si>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</si>
  <si>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</si>
  <si>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</si>
  <si>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</si>
  <si>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</si>
  <si>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</si>
  <si>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</si>
  <si>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</si>
  <si>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</si>
  <si>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</si>
  <si>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</si>
  <si>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</si>
  <si>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</si>
  <si>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</si>
  <si>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</si>
  <si>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</si>
  <si>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</si>
  <si>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</si>
  <si>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</si>
  <si>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</si>
  <si>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</si>
  <si>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</si>
  <si>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</si>
  <si>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</si>
  <si>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</si>
  <si>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</si>
  <si>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</si>
  <si>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</si>
  <si>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</si>
  <si>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</si>
  <si>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</si>
  <si>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</si>
  <si>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</si>
  <si>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</si>
  <si>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</si>
  <si>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</si>
  <si>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</si>
  <si>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</si>
  <si>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</si>
  <si>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</si>
  <si>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</si>
  <si>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</si>
  <si>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</si>
  <si>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</si>
  <si>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</si>
  <si>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</si>
  <si>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</si>
  <si>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</si>
  <si>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</si>
  <si>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</si>
  <si>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</si>
  <si>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</si>
  <si>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</si>
  <si>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</si>
  <si>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</si>
  <si>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</si>
  <si>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</si>
  <si>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</si>
  <si>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</si>
  <si>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</si>
  <si>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</si>
  <si>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</si>
  <si>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</si>
  <si>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</si>
  <si>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</si>
  <si>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</si>
  <si>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</si>
  <si>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</si>
  <si>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</si>
  <si>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</si>
  <si>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</si>
  <si>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</si>
  <si>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</si>
  <si>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</si>
  <si>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</si>
  <si>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</si>
  <si>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</si>
  <si>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</si>
  <si>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</si>
  <si>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</si>
  <si>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</si>
  <si>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</si>
  <si>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</si>
  <si>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</si>
  <si>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</si>
  <si>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</si>
  <si>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</si>
  <si>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</si>
  <si>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</si>
  <si>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</si>
  <si>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</si>
  <si>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</si>
  <si>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</si>
  <si>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</si>
  <si>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</si>
  <si>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</si>
  <si>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</si>
  <si>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</si>
  <si>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</si>
  <si>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</si>
  <si>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</si>
  <si>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</si>
  <si>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</si>
  <si>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</si>
  <si>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</si>
  <si>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</si>
  <si>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</si>
  <si>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</si>
  <si>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</si>
  <si>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</si>
  <si>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</si>
  <si>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</si>
  <si>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</si>
  <si>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</si>
  <si>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</si>
  <si>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</si>
  <si>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</si>
  <si>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</si>
  <si>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</si>
  <si>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</si>
  <si>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</si>
  <si>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</si>
  <si>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</si>
  <si>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</si>
  <si>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</si>
  <si>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</si>
  <si>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</si>
  <si>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</si>
  <si>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</si>
  <si>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</si>
  <si>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</si>
  <si>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</si>
  <si>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</si>
  <si>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</si>
  <si>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</si>
  <si>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</si>
  <si>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</si>
  <si>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</si>
  <si>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</si>
  <si>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</si>
  <si>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</si>
  <si>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</si>
  <si>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</si>
  <si>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</si>
  <si>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</si>
  <si>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</si>
  <si>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</si>
  <si>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</si>
  <si>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</si>
  <si>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</si>
  <si>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</si>
  <si>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</si>
  <si>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</si>
  <si>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</si>
  <si>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</si>
  <si>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</si>
  <si>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</si>
  <si>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</si>
  <si>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</si>
  <si>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</si>
  <si>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</si>
  <si>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</si>
  <si>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</si>
  <si>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</si>
  <si>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</si>
  <si>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</si>
  <si>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</si>
  <si>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</si>
  <si>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</si>
  <si>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</si>
  <si>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</si>
  <si>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</si>
  <si>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</si>
  <si>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</si>
  <si>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</si>
  <si>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</si>
  <si>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</si>
  <si>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</si>
  <si>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</si>
  <si>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</si>
  <si>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</si>
  <si>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</si>
  <si>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</si>
  <si>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</si>
  <si>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</si>
  <si>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</si>
  <si>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</si>
  <si>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</si>
  <si>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</si>
  <si>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</si>
  <si>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</si>
  <si>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</si>
  <si>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</si>
  <si>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</si>
  <si>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</si>
  <si>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</si>
  <si>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</si>
  <si>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</si>
  <si>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</si>
  <si>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</si>
  <si>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</si>
  <si>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</si>
  <si>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</si>
  <si>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</si>
  <si>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</si>
  <si>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</si>
  <si>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</si>
  <si>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</si>
  <si>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</si>
  <si>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</si>
  <si>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</si>
  <si>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</si>
  <si>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</si>
  <si>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</si>
  <si>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</si>
  <si>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</si>
  <si>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</si>
  <si>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</si>
  <si>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</si>
  <si>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</si>
  <si>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</si>
  <si>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</si>
  <si>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</si>
  <si>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</si>
  <si>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</si>
  <si>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</si>
  <si>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</si>
  <si>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</si>
  <si>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</si>
  <si>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</si>
  <si>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</si>
  <si>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</si>
  <si>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</si>
  <si>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</si>
  <si>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</si>
  <si>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</si>
  <si>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</si>
  <si>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</si>
  <si>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</si>
  <si>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</si>
  <si>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</si>
  <si>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</si>
  <si>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</si>
  <si>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</si>
  <si>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</si>
  <si>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</si>
  <si>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</si>
  <si>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</si>
  <si>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</si>
  <si>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</si>
  <si>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</si>
  <si>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</si>
  <si>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</si>
  <si>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</si>
  <si>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</si>
  <si>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</si>
  <si>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</si>
  <si>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</si>
  <si>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</si>
  <si>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</si>
  <si>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</si>
  <si>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</si>
  <si>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</si>
  <si>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</si>
  <si>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</si>
  <si>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</si>
  <si>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</si>
  <si>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</si>
  <si>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</si>
  <si>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</si>
  <si>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</si>
  <si>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</si>
  <si>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</si>
  <si>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</si>
  <si>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</si>
  <si>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</si>
  <si>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</si>
  <si>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</si>
  <si>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</si>
  <si>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</si>
  <si>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</si>
  <si>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</si>
  <si>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</si>
  <si>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</si>
  <si>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</si>
  <si>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</si>
  <si>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</si>
  <si>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</si>
  <si>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</si>
  <si>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</si>
  <si>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</si>
  <si>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</si>
  <si>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</si>
  <si>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</si>
  <si>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</si>
  <si>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</si>
  <si>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</si>
  <si>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</si>
  <si>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</si>
  <si>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</si>
  <si>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</si>
  <si>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</si>
  <si>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</si>
  <si>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</si>
  <si>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</si>
  <si>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</si>
  <si>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</si>
  <si>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</si>
  <si>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</si>
  <si>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</si>
  <si>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</si>
  <si>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</si>
  <si>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</si>
  <si>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</si>
  <si>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</si>
  <si>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</si>
  <si>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</si>
  <si>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</si>
  <si>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</si>
  <si>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</si>
  <si>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</si>
  <si>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</si>
  <si>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</si>
  <si>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</si>
  <si>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</si>
  <si>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</si>
  <si>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</si>
  <si>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</si>
  <si>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</si>
  <si>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</si>
  <si>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</si>
  <si>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</si>
  <si>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</si>
  <si>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</si>
  <si>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</si>
  <si>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</si>
  <si>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</si>
  <si>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</si>
  <si>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</si>
  <si>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</si>
  <si>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</si>
  <si>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</si>
  <si>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</si>
  <si>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</si>
  <si>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</si>
  <si>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</si>
  <si>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</si>
  <si>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</si>
  <si>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</si>
  <si>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</si>
  <si>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</si>
  <si>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</si>
  <si>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</si>
  <si>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</si>
  <si>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</si>
  <si>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</si>
  <si>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</si>
  <si>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</si>
  <si>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</si>
  <si>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</si>
  <si>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</si>
  <si>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</si>
  <si>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</si>
  <si>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</si>
  <si>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</si>
  <si>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</si>
  <si>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</si>
  <si>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</si>
  <si>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</si>
  <si>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</si>
  <si>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</si>
  <si>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</si>
  <si>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</si>
  <si>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</si>
  <si>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</si>
  <si>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</si>
  <si>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</si>
  <si>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</si>
  <si>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</si>
  <si>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</si>
  <si>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</si>
  <si>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</si>
  <si>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</si>
  <si>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</si>
  <si>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</si>
  <si>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</si>
  <si>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</si>
  <si>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</si>
  <si>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</si>
  <si>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</si>
  <si>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</si>
  <si>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</si>
  <si>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</si>
  <si>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</si>
  <si>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</si>
  <si>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</si>
  <si>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</si>
  <si>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</si>
  <si>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</si>
  <si>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</si>
  <si>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</si>
  <si>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</si>
  <si>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</si>
  <si>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</si>
  <si>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</si>
  <si>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</si>
  <si>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</si>
  <si>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</si>
  <si>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</si>
  <si>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</si>
  <si>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</si>
  <si>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</si>
  <si>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</si>
  <si>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</si>
  <si>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</si>
  <si>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</si>
  <si>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</si>
  <si>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</si>
  <si>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</si>
  <si>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</si>
  <si>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</si>
  <si>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</si>
  <si>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</si>
  <si>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</si>
  <si>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</si>
  <si>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</si>
  <si>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</si>
  <si>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</si>
  <si>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</si>
  <si>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</si>
  <si>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</si>
  <si>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</si>
  <si>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</si>
  <si>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</si>
  <si>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</si>
  <si>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</si>
  <si>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</si>
  <si>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</si>
  <si>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</si>
  <si>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</si>
  <si>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</si>
  <si>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</si>
  <si>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</si>
  <si>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</si>
  <si>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</si>
  <si>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</si>
  <si>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</si>
  <si>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</si>
  <si>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</si>
  <si>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</si>
  <si>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</si>
  <si>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</si>
  <si>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</si>
  <si>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</si>
  <si>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</si>
  <si>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</si>
  <si>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</si>
  <si>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</si>
  <si>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</si>
  <si>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</si>
  <si>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</si>
  <si>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</si>
  <si>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</si>
  <si>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</si>
  <si>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</si>
  <si>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</si>
  <si>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</si>
  <si>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</si>
  <si>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</si>
  <si>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</si>
  <si>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</si>
  <si>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</si>
  <si>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</si>
  <si>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</si>
  <si>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</si>
  <si>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</si>
  <si>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</si>
  <si>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</si>
  <si>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</si>
  <si>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</si>
  <si>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</si>
  <si>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</si>
  <si>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</si>
  <si>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</si>
  <si>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</si>
  <si>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</si>
  <si>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</si>
  <si>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</si>
  <si>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</si>
  <si>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</si>
  <si>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</si>
  <si>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</si>
  <si>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</si>
  <si>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</si>
  <si>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</si>
  <si>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</si>
  <si>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</si>
  <si>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</si>
  <si>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</si>
  <si>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</si>
  <si>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</si>
  <si>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</si>
  <si>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</si>
  <si>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</si>
  <si>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</si>
  <si>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</si>
  <si>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</si>
  <si>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</si>
  <si>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</si>
  <si>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</si>
  <si>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</si>
  <si>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</si>
  <si>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</si>
  <si>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</si>
  <si>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</si>
  <si>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</si>
  <si>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</si>
  <si>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</si>
  <si>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</si>
  <si>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</si>
  <si>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</si>
  <si>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</si>
  <si>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</si>
  <si>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</si>
  <si>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</si>
  <si>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</si>
  <si>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</si>
  <si>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</si>
  <si>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</si>
  <si>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</si>
  <si>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</si>
  <si>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</si>
  <si>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</si>
  <si>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</si>
  <si>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</si>
  <si>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</si>
  <si>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</si>
  <si>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</si>
  <si>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</si>
  <si>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</si>
  <si>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</si>
  <si>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</si>
  <si>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</si>
  <si>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</si>
  <si>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</si>
  <si>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</si>
  <si>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</si>
  <si>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</si>
  <si>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</si>
  <si>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</si>
  <si>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</si>
  <si>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</si>
  <si>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</si>
  <si>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</si>
  <si>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</si>
  <si>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</si>
  <si>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</si>
  <si>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</si>
  <si>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</si>
  <si>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</si>
  <si>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</si>
  <si>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</si>
  <si>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</si>
  <si>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</si>
  <si>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</si>
  <si>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</si>
  <si>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</si>
  <si>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</si>
  <si>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</si>
  <si>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</si>
  <si>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</si>
  <si>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</si>
  <si>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</si>
  <si>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</si>
  <si>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</si>
  <si>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</si>
  <si>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</si>
  <si>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</si>
  <si>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</si>
  <si>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</si>
  <si>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</si>
  <si>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</si>
  <si>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</si>
  <si>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</si>
  <si>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</si>
  <si>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</si>
  <si>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</si>
  <si>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</si>
  <si>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</si>
  <si>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</si>
  <si>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</si>
  <si>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</si>
  <si>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</si>
  <si>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</si>
  <si>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</si>
  <si>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</si>
  <si>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</si>
  <si>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</si>
  <si>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</si>
  <si>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</si>
  <si>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</si>
  <si>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</si>
  <si>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</si>
  <si>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</si>
  <si>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</si>
  <si>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</si>
  <si>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</si>
  <si>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</si>
  <si>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</si>
  <si>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</si>
  <si>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</si>
  <si>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</si>
  <si>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</si>
  <si>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</si>
  <si>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</si>
  <si>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</si>
  <si>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</si>
  <si>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</si>
  <si>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</si>
  <si>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</si>
  <si>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</si>
  <si>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</si>
  <si>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</si>
  <si>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</si>
  <si>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</si>
  <si>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</si>
  <si>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</si>
  <si>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</si>
  <si>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</si>
  <si>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</si>
  <si>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</si>
  <si>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</si>
  <si>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</si>
  <si>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</si>
  <si>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</si>
  <si>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</si>
  <si>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</si>
  <si>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</si>
  <si>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</si>
  <si>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</si>
  <si>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</si>
  <si>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</si>
  <si>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</si>
  <si>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</si>
  <si>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</si>
  <si>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</si>
  <si>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</si>
  <si>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</si>
  <si>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</si>
  <si>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</si>
  <si>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</si>
  <si>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</si>
  <si>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</si>
  <si>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</si>
  <si>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</si>
  <si>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</si>
  <si>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</si>
  <si>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</si>
  <si>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</si>
  <si>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</si>
  <si>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</si>
  <si>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</si>
  <si>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</si>
  <si>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</si>
  <si>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</si>
  <si>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</si>
  <si>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</si>
  <si>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</si>
  <si>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</si>
  <si>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</si>
  <si>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</si>
  <si>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</si>
  <si>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</si>
  <si>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</si>
  <si>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</si>
  <si>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</si>
  <si>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</si>
  <si>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</si>
  <si>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</si>
  <si>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</si>
  <si>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</si>
  <si>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</si>
  <si>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</si>
  <si>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</si>
  <si>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</si>
  <si>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</si>
  <si>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</si>
  <si>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</si>
  <si>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</si>
  <si>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</si>
  <si>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</si>
  <si>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</si>
  <si>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</si>
  <si>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</si>
  <si>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</si>
  <si>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</si>
  <si>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</si>
  <si>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</si>
  <si>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</si>
  <si>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</si>
  <si>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</si>
  <si>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</si>
  <si>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</si>
  <si>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</si>
  <si>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</si>
  <si>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</si>
  <si>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</si>
  <si>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</si>
  <si>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</si>
  <si>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</si>
  <si>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</si>
  <si>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</si>
  <si>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</si>
  <si>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</si>
  <si>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</si>
  <si>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</si>
  <si>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</si>
  <si>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</si>
  <si>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</si>
  <si>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</si>
  <si>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</si>
  <si>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</si>
  <si>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</si>
  <si>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</si>
  <si>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</si>
  <si>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</si>
  <si>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</si>
  <si>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</si>
  <si>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</si>
  <si>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</si>
  <si>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</si>
  <si>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</si>
  <si>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</si>
  <si>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</si>
  <si>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</si>
  <si>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</si>
  <si>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</si>
  <si>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</si>
  <si>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</si>
  <si>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</si>
  <si>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</si>
  <si>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</si>
  <si>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</si>
  <si>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</si>
  <si>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</si>
  <si>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</si>
  <si>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</si>
  <si>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</si>
  <si>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</si>
  <si>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</si>
  <si>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</si>
  <si>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</si>
  <si>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</si>
  <si>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</si>
  <si>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</si>
  <si>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</si>
  <si>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</si>
  <si>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</si>
  <si>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</si>
  <si>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</si>
  <si>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</si>
  <si>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</si>
  <si>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</si>
  <si>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</si>
  <si>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</si>
  <si>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</si>
  <si>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</si>
  <si>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</si>
  <si>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</si>
  <si>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</si>
  <si>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</si>
  <si>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</si>
  <si>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</si>
  <si>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</si>
  <si>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</si>
  <si>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</si>
  <si>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</si>
  <si>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</si>
  <si>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</si>
  <si>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</si>
  <si>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</si>
  <si>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</si>
  <si>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</si>
  <si>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</si>
  <si>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</si>
  <si>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</si>
  <si>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</si>
  <si>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</si>
  <si>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</si>
  <si>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</si>
  <si>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</si>
  <si>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</si>
  <si>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</si>
  <si>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</si>
  <si>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</si>
  <si>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</si>
  <si>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</si>
  <si>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</si>
  <si>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</si>
  <si>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</si>
  <si>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</si>
  <si>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</si>
  <si>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</si>
  <si>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</si>
  <si>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</si>
  <si>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</si>
  <si>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</si>
  <si>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</si>
  <si>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</si>
  <si>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</si>
  <si>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</si>
  <si>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</si>
  <si>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</si>
  <si>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</si>
  <si>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</si>
  <si>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</si>
  <si>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</si>
  <si>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</si>
  <si>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</si>
  <si>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</si>
  <si>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</si>
  <si>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</si>
  <si>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</si>
  <si>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</si>
  <si>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</si>
  <si>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</si>
  <si>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</si>
  <si>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</si>
  <si>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</si>
  <si>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</si>
  <si>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</si>
  <si>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</si>
  <si>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</si>
  <si>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</si>
  <si>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</si>
  <si>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</si>
  <si>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</si>
  <si>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</si>
  <si>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</si>
  <si>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</si>
  <si>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</si>
  <si>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</si>
  <si>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</si>
  <si>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</si>
  <si>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</si>
  <si>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</si>
  <si>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</si>
  <si>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</si>
  <si>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</si>
  <si>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</si>
  <si>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</si>
  <si>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</si>
  <si>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</si>
  <si>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</si>
  <si>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</si>
  <si>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</si>
  <si>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</si>
  <si>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</si>
  <si>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</si>
  <si>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</si>
  <si>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</si>
  <si>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</si>
  <si>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</si>
  <si>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</si>
  <si>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</si>
  <si>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</si>
  <si>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</si>
  <si>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</si>
  <si>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</si>
  <si>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</si>
  <si>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</si>
  <si>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</si>
  <si>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</si>
  <si>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</si>
  <si>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</si>
  <si>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</si>
  <si>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</si>
  <si>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</si>
  <si>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</si>
  <si>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</si>
  <si>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</si>
  <si>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</si>
  <si>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</si>
  <si>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</si>
  <si>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</si>
  <si>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</si>
  <si>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</si>
  <si>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</si>
  <si>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</si>
  <si>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</si>
  <si>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</si>
  <si>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</si>
  <si>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</si>
  <si>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</si>
  <si>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</si>
  <si>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</si>
  <si>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</si>
  <si>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</si>
  <si>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</si>
  <si>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</si>
  <si>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</si>
  <si>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</si>
  <si>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</si>
  <si>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</si>
  <si>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</si>
  <si>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</si>
  <si>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</si>
  <si>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</si>
  <si>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</si>
  <si>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</si>
  <si>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</si>
  <si>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</si>
  <si>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</si>
  <si>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</si>
  <si>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</si>
  <si>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</si>
  <si>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</si>
  <si>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</si>
  <si>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</si>
  <si>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</si>
  <si>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</si>
  <si>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</si>
  <si>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</si>
  <si>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</si>
  <si>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</si>
  <si>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</si>
  <si>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</si>
  <si>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</si>
  <si>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</si>
  <si>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</si>
  <si>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</si>
  <si>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</si>
  <si>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</si>
  <si>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</si>
  <si>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</si>
  <si>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</si>
  <si>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</si>
  <si>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</si>
  <si>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</si>
  <si>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</si>
  <si>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</si>
  <si>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</si>
  <si>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</si>
  <si>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</si>
  <si>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</si>
  <si>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</si>
  <si>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</si>
  <si>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</si>
  <si>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</si>
  <si>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</si>
  <si>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</si>
  <si>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</si>
  <si>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</si>
  <si>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</si>
  <si>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</si>
  <si>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</si>
  <si>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</si>
  <si>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</si>
  <si>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</si>
  <si>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</si>
  <si>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</si>
  <si>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</si>
  <si>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</si>
  <si>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</si>
  <si>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</si>
  <si>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</si>
  <si>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</si>
  <si>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</si>
  <si>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</si>
  <si>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</si>
  <si>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</si>
  <si>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</si>
  <si>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</si>
  <si>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</si>
  <si>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</si>
  <si>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</si>
  <si>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</si>
  <si>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</si>
  <si>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</si>
  <si>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</si>
  <si>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</si>
  <si>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</si>
  <si>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</si>
  <si>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</si>
  <si>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</si>
  <si>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</si>
  <si>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</si>
  <si>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</si>
  <si>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</si>
  <si>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</si>
  <si>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</si>
  <si>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</si>
  <si>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</si>
  <si>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</si>
  <si>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</si>
  <si>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</si>
  <si>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</si>
  <si>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</si>
  <si>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</si>
  <si>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</si>
  <si>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</si>
  <si>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</si>
  <si>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</si>
  <si>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</si>
  <si>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</si>
  <si>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</si>
  <si>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</si>
  <si>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</si>
  <si>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</si>
  <si>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</si>
  <si>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</si>
  <si>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</si>
  <si>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</si>
  <si>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</si>
  <si>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</si>
  <si>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</si>
  <si>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</si>
  <si>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</si>
  <si>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</si>
  <si>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</si>
  <si>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</si>
  <si>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</si>
  <si>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</si>
  <si>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</si>
  <si>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</si>
  <si>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</si>
  <si>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</si>
  <si>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</si>
  <si>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</si>
  <si>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</si>
  <si>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</si>
  <si>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</si>
  <si>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</si>
  <si>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</si>
  <si>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</si>
  <si>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</si>
  <si>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</si>
  <si>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</si>
  <si>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</si>
  <si>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</si>
  <si>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</si>
  <si>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</si>
  <si>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</si>
  <si>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</si>
  <si>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</si>
  <si>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</si>
  <si>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</si>
  <si>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</si>
  <si>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</si>
  <si>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</si>
  <si>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</si>
  <si>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</si>
  <si>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</si>
  <si>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</si>
  <si>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</si>
  <si>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</si>
  <si>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</si>
  <si>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</si>
  <si>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</si>
  <si>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</si>
  <si>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</si>
  <si>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</si>
  <si>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</si>
  <si>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</si>
  <si>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</si>
  <si>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</si>
  <si>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</si>
  <si>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</si>
  <si>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</si>
  <si>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</si>
  <si>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</si>
  <si>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</si>
  <si>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</si>
  <si>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</si>
  <si>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</si>
  <si>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</si>
  <si>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</si>
  <si>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</si>
  <si>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</si>
  <si>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</si>
  <si>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</si>
  <si>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</si>
  <si>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</si>
  <si>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</si>
  <si>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</si>
  <si>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</si>
  <si>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</si>
  <si>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</si>
  <si>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</si>
  <si>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</si>
  <si>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</si>
  <si>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</si>
  <si>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</si>
  <si>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</si>
  <si>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</si>
  <si>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</si>
  <si>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</si>
  <si>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</si>
  <si>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</si>
  <si>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</si>
  <si>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</si>
  <si>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</si>
  <si>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</si>
  <si>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</si>
  <si>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</si>
  <si>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</si>
  <si>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</si>
  <si>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</si>
  <si>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</si>
  <si>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</si>
  <si>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</si>
  <si>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</si>
  <si>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</si>
  <si>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</si>
  <si>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</si>
  <si>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</si>
  <si>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</si>
  <si>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</si>
  <si>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</si>
  <si>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</si>
  <si>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</si>
  <si>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</si>
  <si>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</si>
  <si>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</si>
  <si>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</si>
  <si>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</si>
  <si>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</si>
  <si>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</si>
  <si>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</si>
  <si>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</si>
  <si>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</si>
  <si>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</si>
  <si>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</si>
  <si>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</si>
  <si>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</si>
  <si>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</si>
  <si>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</si>
  <si>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</si>
  <si>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</si>
  <si>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</si>
  <si>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</si>
  <si>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</si>
  <si>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</si>
  <si>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</si>
  <si>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</si>
  <si>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</si>
  <si>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</si>
  <si>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</si>
  <si>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</si>
  <si>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</si>
  <si>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</si>
  <si>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</si>
  <si>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</si>
  <si>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</si>
  <si>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</si>
  <si>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</si>
  <si>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</si>
  <si>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</si>
  <si>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</si>
  <si>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</si>
  <si>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</si>
  <si>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</si>
  <si>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</si>
  <si>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</si>
  <si>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</si>
  <si>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</si>
  <si>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</si>
  <si>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</si>
  <si>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</si>
  <si>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</si>
  <si>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</si>
  <si>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</si>
  <si>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</si>
  <si>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</si>
  <si>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</si>
  <si>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</si>
  <si>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</si>
  <si>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</si>
  <si>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</si>
  <si>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</si>
  <si>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</si>
  <si>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</si>
  <si>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</si>
  <si>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</si>
  <si>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</si>
  <si>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</si>
  <si>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</si>
  <si>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</si>
  <si>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</si>
  <si>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</si>
  <si>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</si>
  <si>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</si>
  <si>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</si>
  <si>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</si>
  <si>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</si>
  <si>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</si>
  <si>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</si>
  <si>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</si>
  <si>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</si>
  <si>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</si>
  <si>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</si>
  <si>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</si>
  <si>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</si>
  <si>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</si>
  <si>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</si>
  <si>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</si>
  <si>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</si>
  <si>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</si>
  <si>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</si>
  <si>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</si>
  <si>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</si>
  <si>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</si>
  <si>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</si>
  <si>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</si>
  <si>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</si>
  <si>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</si>
  <si>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</si>
  <si>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</si>
  <si>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</si>
  <si>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</si>
  <si>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</si>
  <si>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</si>
  <si>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</si>
  <si>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</si>
  <si>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</si>
  <si>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</si>
  <si>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</si>
  <si>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</si>
  <si>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</si>
  <si>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</si>
  <si>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</si>
  <si>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</si>
  <si>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</si>
  <si>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</si>
  <si>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</si>
  <si>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</si>
  <si>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</si>
  <si>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</si>
  <si>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</si>
  <si>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</si>
  <si>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</si>
  <si>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</si>
  <si>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</si>
  <si>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</si>
  <si>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</si>
  <si>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</si>
  <si>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</si>
  <si>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</si>
  <si>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</si>
  <si>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</si>
  <si>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</si>
  <si>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</si>
  <si>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</si>
  <si>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</si>
  <si>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</si>
  <si>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</si>
  <si>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</si>
  <si>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</si>
  <si>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</si>
  <si>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</si>
  <si>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</si>
  <si>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</si>
  <si>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</si>
  <si>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</si>
  <si>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</si>
  <si>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</si>
  <si>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</si>
  <si>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</si>
  <si>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</si>
  <si>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</si>
  <si>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</si>
  <si>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</si>
  <si>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</si>
  <si>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</si>
  <si>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</si>
  <si>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</si>
  <si>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</si>
  <si>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</si>
  <si>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</si>
  <si>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</si>
  <si>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</si>
  <si>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</si>
  <si>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</si>
  <si>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</si>
  <si>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</si>
  <si>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</si>
  <si>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</si>
  <si>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</si>
  <si>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</si>
  <si>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</si>
  <si>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</si>
  <si>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</si>
  <si>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</si>
  <si>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</si>
  <si>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</si>
  <si>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</si>
  <si>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</si>
  <si>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</si>
  <si>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</si>
  <si>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</si>
  <si>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</si>
  <si>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</si>
  <si>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</si>
  <si>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</si>
  <si>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</si>
  <si>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</si>
  <si>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</si>
  <si>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</si>
  <si>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</si>
  <si>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</si>
  <si>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</si>
  <si>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</si>
  <si>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</si>
  <si>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</si>
  <si>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</si>
  <si>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</si>
  <si>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</si>
  <si>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</si>
  <si>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</si>
  <si>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</si>
  <si>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</si>
  <si>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</si>
  <si>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</si>
  <si>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</si>
  <si>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</si>
  <si>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</si>
  <si>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</si>
  <si>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</si>
  <si>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</si>
  <si>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</si>
  <si>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</si>
  <si>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</si>
  <si>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</si>
  <si>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</si>
  <si>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</si>
  <si>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</si>
  <si>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</si>
  <si>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</si>
  <si>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</si>
  <si>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</si>
  <si>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</si>
  <si>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</si>
  <si>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</si>
  <si>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</si>
  <si>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</si>
  <si>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</si>
  <si>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</si>
  <si>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</si>
  <si>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</si>
  <si>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</si>
  <si>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</si>
  <si>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</si>
  <si>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</si>
  <si>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</si>
  <si>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</si>
  <si>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</si>
  <si>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</si>
  <si>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</si>
  <si>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</si>
  <si>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</si>
  <si>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</si>
  <si>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</si>
  <si>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</si>
  <si>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</si>
  <si>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</si>
  <si>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</si>
  <si>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</si>
  <si>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</si>
  <si>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</si>
  <si>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</si>
  <si>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</si>
  <si>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</si>
  <si>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</si>
  <si>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</si>
  <si>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</si>
  <si>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</si>
  <si>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</si>
  <si>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</si>
  <si>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</si>
  <si>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</si>
  <si>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</si>
  <si>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</si>
  <si>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</si>
  <si>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</si>
  <si>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</si>
  <si>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</si>
  <si>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</si>
  <si>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</si>
  <si>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</si>
  <si>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</si>
  <si>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</si>
  <si>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</si>
  <si>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</si>
  <si>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</si>
  <si>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</si>
  <si>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</si>
  <si>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</si>
  <si>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</si>
  <si>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</si>
  <si>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</si>
  <si>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</si>
  <si>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</si>
  <si>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</si>
  <si>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</si>
  <si>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</si>
  <si>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</si>
  <si>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</si>
  <si>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</si>
  <si>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</si>
  <si>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</si>
  <si>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</si>
  <si>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</si>
  <si>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</si>
  <si>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</si>
  <si>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</si>
  <si>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</si>
  <si>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</si>
  <si>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</si>
  <si>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</si>
  <si>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</si>
  <si>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</si>
  <si>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</si>
  <si>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</si>
  <si>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</si>
  <si>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</si>
  <si>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</si>
  <si>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</si>
  <si>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</si>
  <si>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</si>
  <si>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</si>
  <si>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</si>
  <si>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</si>
  <si>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</si>
  <si>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</si>
  <si>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</si>
  <si>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</si>
  <si>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</si>
  <si>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</si>
  <si>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</si>
  <si>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</si>
  <si>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</si>
  <si>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</si>
  <si>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</si>
  <si>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</si>
  <si>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</si>
  <si>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</si>
  <si>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</si>
  <si>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</si>
  <si>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</si>
  <si>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</si>
  <si>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</si>
  <si>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</si>
  <si>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</si>
  <si>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</si>
  <si>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</si>
  <si>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</si>
  <si>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</si>
  <si>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</si>
  <si>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</si>
  <si>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</si>
  <si>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</si>
  <si>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</si>
  <si>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</si>
  <si>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</si>
  <si>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</si>
  <si>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</si>
  <si>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</si>
  <si>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</si>
  <si>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</si>
  <si>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</si>
  <si>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</si>
  <si>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</si>
  <si>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</si>
  <si>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</si>
  <si>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</si>
  <si>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</si>
  <si>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</si>
  <si>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</si>
  <si>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</si>
  <si>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</si>
  <si>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</si>
  <si>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</si>
  <si>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</si>
  <si>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</si>
  <si>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</si>
  <si>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</si>
  <si>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</si>
  <si>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</si>
  <si>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</si>
  <si>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</si>
  <si>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</si>
  <si>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</si>
  <si>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</si>
  <si>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</si>
  <si>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</si>
  <si>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</si>
  <si>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</si>
  <si>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</si>
  <si>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</si>
  <si>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</si>
  <si>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</si>
  <si>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</si>
  <si>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</si>
  <si>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</si>
  <si>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</si>
  <si>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</si>
  <si>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</si>
  <si>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</si>
  <si>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</si>
  <si>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</si>
  <si>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</si>
  <si>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</si>
  <si>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</si>
  <si>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</si>
  <si>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</si>
  <si>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</si>
  <si>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</si>
  <si>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</si>
  <si>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</si>
  <si>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</si>
  <si>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</si>
  <si>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</si>
  <si>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</si>
  <si>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</si>
  <si>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</si>
  <si>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</si>
  <si>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</si>
  <si>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</si>
  <si>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</si>
  <si>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</si>
  <si>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</si>
  <si>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</si>
  <si>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</si>
  <si>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</si>
  <si>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</si>
  <si>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</si>
  <si>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</si>
  <si>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</si>
  <si>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</si>
  <si>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</si>
  <si>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</si>
  <si>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</si>
  <si>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</si>
  <si>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</si>
  <si>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</si>
  <si>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</si>
  <si>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</si>
  <si>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</si>
  <si>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</si>
  <si>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</si>
  <si>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</si>
  <si>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</si>
  <si>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</si>
  <si>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</si>
  <si>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</si>
  <si>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</si>
  <si>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</si>
  <si>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</si>
  <si>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</si>
  <si>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</si>
  <si>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</si>
  <si>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</si>
  <si>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</si>
  <si>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</si>
  <si>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</si>
  <si>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</si>
  <si>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</si>
  <si>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</si>
  <si>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</si>
  <si>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</si>
  <si>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</si>
  <si>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</si>
  <si>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</si>
  <si>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</si>
  <si>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</si>
  <si>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</si>
  <si>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</si>
  <si>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</si>
  <si>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</si>
  <si>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</si>
  <si>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</si>
  <si>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</si>
  <si>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</si>
  <si>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</si>
  <si>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</si>
  <si>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</si>
  <si>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</si>
  <si>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</si>
  <si>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</si>
  <si>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</si>
  <si>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</si>
  <si>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</si>
  <si>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</si>
  <si>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</si>
  <si>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</si>
  <si>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</si>
  <si>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</si>
  <si>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</si>
  <si>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</si>
  <si>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</si>
  <si>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</si>
  <si>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</si>
  <si>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</si>
  <si>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</si>
  <si>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</si>
  <si>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</si>
  <si>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</si>
  <si>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</si>
  <si>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</si>
  <si>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</si>
  <si>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</si>
  <si>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</si>
  <si>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</si>
  <si>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</si>
  <si>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</si>
  <si>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</si>
  <si>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</si>
  <si>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</si>
  <si>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</si>
  <si>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</si>
  <si>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</si>
  <si>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</si>
  <si>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</si>
  <si>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</si>
  <si>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</si>
  <si>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</si>
  <si>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</si>
  <si>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</si>
  <si>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</si>
  <si>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</si>
  <si>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</si>
  <si>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</si>
  <si>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</si>
  <si>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</si>
  <si>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</si>
  <si>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</si>
  <si>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</si>
  <si>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</si>
  <si>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</si>
  <si>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</si>
  <si>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</si>
  <si>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</si>
  <si>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</si>
  <si>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</si>
  <si>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</si>
  <si>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</si>
  <si>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</si>
  <si>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</si>
  <si>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</si>
  <si>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</si>
  <si>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</si>
  <si>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</si>
  <si>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</si>
  <si>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</si>
  <si>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</si>
  <si>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</si>
  <si>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</si>
  <si>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</si>
  <si>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</si>
  <si>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</si>
  <si>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</si>
  <si>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</si>
  <si>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</si>
  <si>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</si>
  <si>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</si>
  <si>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</si>
  <si>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</si>
  <si>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</si>
  <si>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</si>
  <si>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</si>
  <si>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</si>
  <si>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</si>
  <si>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</si>
  <si>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</si>
  <si>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</si>
  <si>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</si>
  <si>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</si>
  <si>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</si>
  <si>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</si>
  <si>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</si>
  <si>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</si>
  <si>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</si>
  <si>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</si>
  <si>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</si>
  <si>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</si>
  <si>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</si>
  <si>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</si>
  <si>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</si>
  <si>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</si>
  <si>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</si>
  <si>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</si>
  <si>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</si>
  <si>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</si>
  <si>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</si>
  <si>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</si>
  <si>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</si>
  <si>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</si>
  <si>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</si>
  <si>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</si>
  <si>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</si>
  <si>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</si>
  <si>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</si>
  <si>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</si>
  <si>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</si>
  <si>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</si>
  <si>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</si>
  <si>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</si>
  <si>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</si>
  <si>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</si>
  <si>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</si>
  <si>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</si>
  <si>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</si>
  <si>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</si>
  <si>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</si>
  <si>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</si>
  <si>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</si>
  <si>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</si>
  <si>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</si>
  <si>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</si>
  <si>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</si>
  <si>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</si>
  <si>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</si>
  <si>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</si>
  <si>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</si>
  <si>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</si>
  <si>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</si>
  <si>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</si>
  <si>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</si>
  <si>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</si>
  <si>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</si>
  <si>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</si>
  <si>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</si>
  <si>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</si>
  <si>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</si>
  <si>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</si>
  <si>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</si>
  <si>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</si>
  <si>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</si>
  <si>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</si>
  <si>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</si>
  <si>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</si>
  <si>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</si>
  <si>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</si>
  <si>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</si>
  <si>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</si>
  <si>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</si>
  <si>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</si>
  <si>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</si>
  <si>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</si>
  <si>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</si>
  <si>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</si>
  <si>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</si>
  <si>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</si>
  <si>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</si>
  <si>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</si>
  <si>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</si>
  <si>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</si>
  <si>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</si>
  <si>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</si>
  <si>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</si>
  <si>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</si>
  <si>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</si>
  <si>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</si>
  <si>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</si>
  <si>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</si>
  <si>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</si>
  <si>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</si>
  <si>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</si>
  <si>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</si>
  <si>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</si>
  <si>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</si>
  <si>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</si>
  <si>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</si>
  <si>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</si>
  <si>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</si>
  <si>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</si>
  <si>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</si>
  <si>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</si>
  <si>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</si>
  <si>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</si>
  <si>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</si>
  <si>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</si>
  <si>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</si>
  <si>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</si>
  <si>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</si>
  <si>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</si>
  <si>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</si>
  <si>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</si>
  <si>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</si>
  <si>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</si>
  <si>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</si>
  <si>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</si>
  <si>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</si>
  <si>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</si>
  <si>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</si>
  <si>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</si>
  <si>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</si>
  <si>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</si>
  <si>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</si>
  <si>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</si>
  <si>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</si>
  <si>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</si>
  <si>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</si>
  <si>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</si>
  <si>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</si>
  <si>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</si>
  <si>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</si>
  <si>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</si>
  <si>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</si>
  <si>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</si>
  <si>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</si>
  <si>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</si>
  <si>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</si>
  <si>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</si>
  <si>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</si>
  <si>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</si>
  <si>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</si>
  <si>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</si>
  <si>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</si>
  <si>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</si>
  <si>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</si>
  <si>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</si>
  <si>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</si>
  <si>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</si>
  <si>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</si>
  <si>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</si>
  <si>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</si>
  <si>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</si>
  <si>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</si>
  <si>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</si>
  <si>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</si>
  <si>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</si>
  <si>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</si>
  <si>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</si>
  <si>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</si>
  <si>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</si>
  <si>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</si>
  <si>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</si>
  <si>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</si>
  <si>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</si>
  <si>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</si>
  <si>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</si>
  <si>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</si>
  <si>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</si>
  <si>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</si>
  <si>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</si>
  <si>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</si>
  <si>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</si>
  <si>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</si>
  <si>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</si>
  <si>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</si>
  <si>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</si>
  <si>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</si>
  <si>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</si>
  <si>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</si>
  <si>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</si>
  <si>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</si>
  <si>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</si>
  <si>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</si>
  <si>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</si>
  <si>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</si>
  <si>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</si>
  <si>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</si>
  <si>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</si>
  <si>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</si>
  <si>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</si>
  <si>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</si>
  <si>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</si>
  <si>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</si>
  <si>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</si>
  <si>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</si>
  <si>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</si>
  <si>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</si>
  <si>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</si>
  <si>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</si>
  <si>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</si>
  <si>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</si>
  <si>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</si>
  <si>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</si>
  <si>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</si>
  <si>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</si>
  <si>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</si>
  <si>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</si>
  <si>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</si>
  <si>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</si>
  <si>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</si>
  <si>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</si>
  <si>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</si>
  <si>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</si>
  <si>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</si>
  <si>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</si>
  <si>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</si>
  <si>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</si>
  <si>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</si>
  <si>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</si>
  <si>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</si>
  <si>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</si>
  <si>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</si>
  <si>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</si>
  <si>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</si>
  <si>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</si>
  <si>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</si>
  <si>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</si>
  <si>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</si>
  <si>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</si>
  <si>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</si>
  <si>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</si>
  <si>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</si>
  <si>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</si>
  <si>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</si>
  <si>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</si>
  <si>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</si>
  <si>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</si>
  <si>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</si>
  <si>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</si>
  <si>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</si>
  <si>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</si>
  <si>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</si>
  <si>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</si>
  <si>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</si>
  <si>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</si>
  <si>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</si>
  <si>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</si>
  <si>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</si>
  <si>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</si>
  <si>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</si>
  <si>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</si>
  <si>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</si>
  <si>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</si>
  <si>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</si>
  <si>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</si>
  <si>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</si>
  <si>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</si>
  <si>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</si>
  <si>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</si>
  <si>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</si>
  <si>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</si>
  <si>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</si>
  <si>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</si>
  <si>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</si>
  <si>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</si>
  <si>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</si>
  <si>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</si>
  <si>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</si>
  <si>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</si>
  <si>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</si>
  <si>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</si>
  <si>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</si>
  <si>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</si>
  <si>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</si>
  <si>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</si>
  <si>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</si>
  <si>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</si>
  <si>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</si>
  <si>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</si>
  <si>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</si>
  <si>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</si>
  <si>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</si>
  <si>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</si>
  <si>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</si>
  <si>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</si>
  <si>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</si>
  <si>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</si>
  <si>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</si>
  <si>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</si>
  <si>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</si>
  <si>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</si>
  <si>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</si>
  <si>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</si>
  <si>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</si>
  <si>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</si>
  <si>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</si>
  <si>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</si>
  <si>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</si>
  <si>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</si>
  <si>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</si>
  <si>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</si>
  <si>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</si>
  <si>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</si>
  <si>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</si>
  <si>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</si>
  <si>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</si>
  <si>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</si>
  <si>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</si>
  <si>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</si>
  <si>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</si>
  <si>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</si>
  <si>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</si>
  <si>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</si>
  <si>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</si>
  <si>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</si>
  <si>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</si>
  <si>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</si>
  <si>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</si>
  <si>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</si>
  <si>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</si>
  <si>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</si>
  <si>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</si>
  <si>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</si>
  <si>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</si>
  <si>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</si>
  <si>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</si>
  <si>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</si>
  <si>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</si>
  <si>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</si>
  <si>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</si>
  <si>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</si>
  <si>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</si>
  <si>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</si>
  <si>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</si>
  <si>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</si>
  <si>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</si>
  <si>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</si>
  <si>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</si>
  <si>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</si>
  <si>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</si>
  <si>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</si>
  <si>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</si>
  <si>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</si>
  <si>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</si>
  <si>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</si>
  <si>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</si>
  <si>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</si>
  <si>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</si>
  <si>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</si>
  <si>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</si>
  <si>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</si>
  <si>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</si>
  <si>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</si>
  <si>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</si>
  <si>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</si>
  <si>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</si>
  <si>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</si>
  <si>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</si>
  <si>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</si>
  <si>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</si>
  <si>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</si>
  <si>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</si>
  <si>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</si>
  <si>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</si>
  <si>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</si>
  <si>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</si>
  <si>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</si>
  <si>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</si>
  <si>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</si>
  <si>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</si>
  <si>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</si>
  <si>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</si>
  <si>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</si>
  <si>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</si>
  <si>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</si>
  <si>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</si>
  <si>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</si>
  <si>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</si>
  <si>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</si>
  <si>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</si>
  <si>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</si>
  <si>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</si>
  <si>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</si>
  <si>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</si>
  <si>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</si>
  <si>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</si>
  <si>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</si>
  <si>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</si>
  <si>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</si>
  <si>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</si>
  <si>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</si>
  <si>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</si>
  <si>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</si>
  <si>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</si>
  <si>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</si>
  <si>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</si>
  <si>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</si>
  <si>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</si>
  <si>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</si>
  <si>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</si>
  <si>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</si>
  <si>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</si>
  <si>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</si>
  <si>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</si>
  <si>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</si>
  <si>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</si>
  <si>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</si>
  <si>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</si>
  <si>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</si>
  <si>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</si>
  <si>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</si>
  <si>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</si>
  <si>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</si>
  <si>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</si>
  <si>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</si>
  <si>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</si>
  <si>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</si>
  <si>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</si>
  <si>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</si>
  <si>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</si>
  <si>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</si>
  <si>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</si>
  <si>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</si>
  <si>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</si>
  <si>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</si>
  <si>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</si>
  <si>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</si>
  <si>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</si>
  <si>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</si>
  <si>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</si>
  <si>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</si>
  <si>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</si>
  <si>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</si>
  <si>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</si>
  <si>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</si>
  <si>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</si>
  <si>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</si>
  <si>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</si>
  <si>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</si>
  <si>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</si>
  <si>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</si>
  <si>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</si>
  <si>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</si>
  <si>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</si>
  <si>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</si>
  <si>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</si>
  <si>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</si>
  <si>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</si>
  <si>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</si>
  <si>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</si>
  <si>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</si>
  <si>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</si>
  <si>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</si>
  <si>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</si>
  <si>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</si>
  <si>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</si>
  <si>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</si>
  <si>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</si>
  <si>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</si>
  <si>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</si>
  <si>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</si>
  <si>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</si>
  <si>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</si>
  <si>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</si>
  <si>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</si>
  <si>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</si>
  <si>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</si>
  <si>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</si>
  <si>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</si>
  <si>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</si>
  <si>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</si>
  <si>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</si>
  <si>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</si>
  <si>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</si>
  <si>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</si>
  <si>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</si>
  <si>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</si>
  <si>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</si>
  <si>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</si>
  <si>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</si>
  <si>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</si>
  <si>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</si>
  <si>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</si>
  <si>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</si>
  <si>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</si>
  <si>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</si>
  <si>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</si>
  <si>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</si>
  <si>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</si>
  <si>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</si>
  <si>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</si>
  <si>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</si>
  <si>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</si>
  <si>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</si>
  <si>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</si>
  <si>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</si>
  <si>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</si>
  <si>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</si>
  <si>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</si>
  <si>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</si>
  <si>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</si>
  <si>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</si>
  <si>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</si>
  <si>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</si>
  <si>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</si>
  <si>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</si>
  <si>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</si>
  <si>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</si>
  <si>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</si>
  <si>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</si>
  <si>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</si>
  <si>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</si>
  <si>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</si>
  <si>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</si>
  <si>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</si>
  <si>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</si>
  <si>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</si>
  <si>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</si>
  <si>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</si>
  <si>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</si>
  <si>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</si>
  <si>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</si>
  <si>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</si>
  <si>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</si>
  <si>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</si>
  <si>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</si>
  <si>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</si>
  <si>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</si>
  <si>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</si>
  <si>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</si>
  <si>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</si>
  <si>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</si>
  <si>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</si>
  <si>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</si>
  <si>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</si>
  <si>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</si>
  <si>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</si>
  <si>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</si>
  <si>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</si>
  <si>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</si>
  <si>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</si>
  <si>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</si>
  <si>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</si>
  <si>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</si>
  <si>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</si>
  <si>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</si>
  <si>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</si>
  <si>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</si>
  <si>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</si>
  <si>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</si>
  <si>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</si>
  <si>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</si>
  <si>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</si>
  <si>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</si>
  <si>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</si>
  <si>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</si>
  <si>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</si>
  <si>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</si>
  <si>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</si>
  <si>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</si>
  <si>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</si>
  <si>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</si>
  <si>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</si>
  <si>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</si>
  <si>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</si>
  <si>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</si>
  <si>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</si>
  <si>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</si>
  <si>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</si>
  <si>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</si>
  <si>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</si>
  <si>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</si>
  <si>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</si>
  <si>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</si>
  <si>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</si>
  <si>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</si>
  <si>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</si>
  <si>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</si>
  <si>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</si>
  <si>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</si>
  <si>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</si>
  <si>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</si>
  <si>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</si>
  <si>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</si>
  <si>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</si>
  <si>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</si>
  <si>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</si>
  <si>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</si>
  <si>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</si>
  <si>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</si>
  <si>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</si>
  <si>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</si>
  <si>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</si>
  <si>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</si>
  <si>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</si>
  <si>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</si>
  <si>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</si>
  <si>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</si>
  <si>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</si>
  <si>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</si>
  <si>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</si>
  <si>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</si>
  <si>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</si>
  <si>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</si>
  <si>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</si>
  <si>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</si>
  <si>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</si>
  <si>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</si>
  <si>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</si>
  <si>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</si>
  <si>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</si>
  <si>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</si>
  <si>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</si>
  <si>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</si>
  <si>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</si>
  <si>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</si>
  <si>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</si>
  <si>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</si>
  <si>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</si>
  <si>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</si>
  <si>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</si>
  <si>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</si>
  <si>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</si>
  <si>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</si>
  <si>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</si>
  <si>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</si>
  <si>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</si>
  <si>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</si>
  <si>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</si>
  <si>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</si>
  <si>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</si>
  <si>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</si>
  <si>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</si>
  <si>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</si>
  <si>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</si>
  <si>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</si>
  <si>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</si>
  <si>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</si>
  <si>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</si>
  <si>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</si>
  <si>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</si>
  <si>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</si>
  <si>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</si>
  <si>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</si>
  <si>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</si>
  <si>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</si>
  <si>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</si>
  <si>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</si>
  <si>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</si>
  <si>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</si>
  <si>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</si>
  <si>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</si>
  <si>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</si>
  <si>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</si>
  <si>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</si>
  <si>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</si>
  <si>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</si>
  <si>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</si>
  <si>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</si>
  <si>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</si>
  <si>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</si>
  <si>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</si>
  <si>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</si>
  <si>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</si>
  <si>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</si>
  <si>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</si>
  <si>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</si>
  <si>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</si>
  <si>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</si>
  <si>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</si>
  <si>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</si>
  <si>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</si>
  <si>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</si>
  <si>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</si>
  <si>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</si>
  <si>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</si>
  <si>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</si>
  <si>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</si>
  <si>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</si>
  <si>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</si>
  <si>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</si>
  <si>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</si>
  <si>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</si>
  <si>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</si>
  <si>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</si>
  <si>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</si>
  <si>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</si>
  <si>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</si>
  <si>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</si>
  <si>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</si>
  <si>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</si>
  <si>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</si>
  <si>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</si>
  <si>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</si>
  <si>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</si>
  <si>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</si>
  <si>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</si>
  <si>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</si>
  <si>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</si>
  <si>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</si>
  <si>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</si>
  <si>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</si>
  <si>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</si>
  <si>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</si>
  <si>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</si>
  <si>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</si>
  <si>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</si>
  <si>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</si>
  <si>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</si>
  <si>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</si>
  <si>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</si>
  <si>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</si>
  <si>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</si>
  <si>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</si>
  <si>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</si>
  <si>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</si>
  <si>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</si>
  <si>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</si>
  <si>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</si>
  <si>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</si>
  <si>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</si>
  <si>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</si>
  <si>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</si>
  <si>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</si>
  <si>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</si>
  <si>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</si>
  <si>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</si>
  <si>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</si>
  <si>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</si>
  <si>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</si>
  <si>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</si>
  <si>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</si>
  <si>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</si>
  <si>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</si>
  <si>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</si>
  <si>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</si>
  <si>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</si>
  <si>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</si>
  <si>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</si>
  <si>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</si>
  <si>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</si>
  <si>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</si>
  <si>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</si>
  <si>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</si>
  <si>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</si>
  <si>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</si>
  <si>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</si>
  <si>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</si>
  <si>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</si>
  <si>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</si>
  <si>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</si>
  <si>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</si>
  <si>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</si>
  <si>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</si>
  <si>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</si>
  <si>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</si>
  <si>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</si>
  <si>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</si>
  <si>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</si>
  <si>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</si>
  <si>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</si>
  <si>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</si>
  <si>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</si>
  <si>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</si>
  <si>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</si>
  <si>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</si>
  <si>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</si>
  <si>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</si>
  <si>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</si>
  <si>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</si>
  <si>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</si>
  <si>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</si>
  <si>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</si>
  <si>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</si>
  <si>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</si>
  <si>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</si>
  <si>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</si>
  <si>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</si>
  <si>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</si>
  <si>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</si>
  <si>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</si>
  <si>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</si>
  <si>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</si>
  <si>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</si>
  <si>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</si>
  <si>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</si>
  <si>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</si>
  <si>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</si>
  <si>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</si>
  <si>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</si>
  <si>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</si>
  <si>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</si>
  <si>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</si>
  <si>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</si>
  <si>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</si>
  <si>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</si>
  <si>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</si>
  <si>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</si>
  <si>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</si>
  <si>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</si>
  <si>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</si>
  <si>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</si>
  <si>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</si>
  <si>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</si>
  <si>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</si>
  <si>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</si>
  <si>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</si>
  <si>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</si>
  <si>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</si>
  <si>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</si>
  <si>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</si>
  <si>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</si>
  <si>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</si>
  <si>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</si>
  <si>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</si>
  <si>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</si>
  <si>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</si>
  <si>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</si>
  <si>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</si>
  <si>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</si>
  <si>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</si>
  <si>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</si>
  <si>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</si>
  <si>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</si>
  <si>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</si>
  <si>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</si>
  <si>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</si>
  <si>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</si>
  <si>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</si>
  <si>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</si>
  <si>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</si>
  <si>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</si>
  <si>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</si>
  <si>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</si>
  <si>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</si>
  <si>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</si>
  <si>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</si>
  <si>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</si>
  <si>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</si>
  <si>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</si>
  <si>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</si>
  <si>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</si>
  <si>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</si>
  <si>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</si>
  <si>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</si>
  <si>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</si>
  <si>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</si>
  <si>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</si>
  <si>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</si>
  <si>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</si>
  <si>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</si>
  <si>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</si>
  <si>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</si>
  <si>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</si>
  <si>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</si>
  <si>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</si>
  <si>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</si>
  <si>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</si>
  <si>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</si>
  <si>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</si>
  <si>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</si>
  <si>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</si>
  <si>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</si>
  <si>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</si>
  <si>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</si>
  <si>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</si>
  <si>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</si>
  <si>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</si>
  <si>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</si>
  <si>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</si>
  <si>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</si>
  <si>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</si>
  <si>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</si>
  <si>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</si>
  <si>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</si>
  <si>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</si>
  <si>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</si>
  <si>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</si>
  <si>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</si>
  <si>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</si>
  <si>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</si>
  <si>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</si>
  <si>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</si>
  <si>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</si>
  <si>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</si>
  <si>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</si>
  <si>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</si>
  <si>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</si>
  <si>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</si>
  <si>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</si>
  <si>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</si>
  <si>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</si>
  <si>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</si>
  <si>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</si>
  <si>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</si>
  <si>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</si>
  <si>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</si>
  <si>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</si>
  <si>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</si>
  <si>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</si>
  <si>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</si>
  <si>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</si>
  <si>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</si>
  <si>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</si>
  <si>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</si>
  <si>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</si>
  <si>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</si>
  <si>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</si>
  <si>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</si>
  <si>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</si>
  <si>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</si>
  <si>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</si>
  <si>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</si>
  <si>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</si>
  <si>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</si>
  <si>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</si>
  <si>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</si>
  <si>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</si>
  <si>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</si>
  <si>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</si>
  <si>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</si>
  <si>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</si>
  <si>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</si>
  <si>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</si>
  <si>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</si>
  <si>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</si>
  <si>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</si>
  <si>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</si>
  <si>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</si>
  <si>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</si>
  <si>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</si>
  <si>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</si>
  <si>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</si>
  <si>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</si>
  <si>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</si>
  <si>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</si>
  <si>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</si>
  <si>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</si>
  <si>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</si>
  <si>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</si>
  <si>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</si>
  <si>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</si>
  <si>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</si>
  <si>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</si>
  <si>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</si>
  <si>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</si>
  <si>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</si>
  <si>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</si>
  <si>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</si>
  <si>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</si>
  <si>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</si>
  <si>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</si>
  <si>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</si>
  <si>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</si>
  <si>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</si>
  <si>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</si>
  <si>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</si>
  <si>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</si>
  <si>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</si>
  <si>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</si>
  <si>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</si>
  <si>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</si>
  <si>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</si>
  <si>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</si>
  <si>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</si>
  <si>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</si>
  <si>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</si>
  <si>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</si>
  <si>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</si>
  <si>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</si>
  <si>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</si>
  <si>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</si>
  <si>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</si>
  <si>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</si>
  <si>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</si>
  <si>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</si>
  <si>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</si>
  <si>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</si>
  <si>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</si>
  <si>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</si>
  <si>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</si>
  <si>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</si>
  <si>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</si>
  <si>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</si>
  <si>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</si>
  <si>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</si>
  <si>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</si>
  <si>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</si>
  <si>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</si>
  <si>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</si>
  <si>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</si>
  <si>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</si>
  <si>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</si>
  <si>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</si>
  <si>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</si>
  <si>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</si>
  <si>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</si>
  <si>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</si>
  <si>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</si>
  <si>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</si>
  <si>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</si>
  <si>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</si>
  <si>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</si>
  <si>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</si>
  <si>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</si>
  <si>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</si>
  <si>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</si>
  <si>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</si>
  <si>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</si>
  <si>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</si>
  <si>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</si>
  <si>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</si>
  <si>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</si>
  <si>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</si>
  <si>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</si>
  <si>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</si>
  <si>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</si>
  <si>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</si>
  <si>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</si>
  <si>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</si>
  <si>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</si>
  <si>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</si>
  <si>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</si>
  <si>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</si>
  <si>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</si>
  <si>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</si>
  <si>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</si>
  <si>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</si>
  <si>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</si>
  <si>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</si>
  <si>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</si>
  <si>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</si>
  <si>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</si>
  <si>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</si>
  <si>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</si>
  <si>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</si>
  <si>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</si>
  <si>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</si>
  <si>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</si>
  <si>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</si>
  <si>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</si>
  <si>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</si>
  <si>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</si>
  <si>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</si>
  <si>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</si>
  <si>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</si>
  <si>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</si>
  <si>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</si>
  <si>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</si>
  <si>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</si>
  <si>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</si>
  <si>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</si>
  <si>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</si>
  <si>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</si>
  <si>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</si>
  <si>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</si>
  <si>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</si>
  <si>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</si>
  <si>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</si>
  <si>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</si>
  <si>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</si>
  <si>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</si>
  <si>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</si>
  <si>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</si>
  <si>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</si>
  <si>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</si>
  <si>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</si>
  <si>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</si>
  <si>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</si>
  <si>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</si>
  <si>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</si>
  <si>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</si>
  <si>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</si>
  <si>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</si>
  <si>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</si>
  <si>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</si>
  <si>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</si>
  <si>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</si>
  <si>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</si>
  <si>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</si>
  <si>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</si>
  <si>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</si>
  <si>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</si>
  <si>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</si>
  <si>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</si>
  <si>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</si>
  <si>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</si>
  <si>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</si>
  <si>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</si>
  <si>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</si>
  <si>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</si>
  <si>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</si>
  <si>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</si>
  <si>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</si>
  <si>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</si>
  <si>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</si>
  <si>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</si>
  <si>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</si>
  <si>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</si>
  <si>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</si>
  <si>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</si>
  <si>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</si>
  <si>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</si>
  <si>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</si>
  <si>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</si>
  <si>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</si>
  <si>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</si>
  <si>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</si>
  <si>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</si>
  <si>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</si>
  <si>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</si>
  <si>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</si>
  <si>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</si>
  <si>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</si>
  <si>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</si>
  <si>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</si>
  <si>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</si>
  <si>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</si>
  <si>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</si>
  <si>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</si>
  <si>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</si>
  <si>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</si>
  <si>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</si>
  <si>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</si>
  <si>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</si>
  <si>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</si>
  <si>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</si>
  <si>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</si>
  <si>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</si>
  <si>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</si>
  <si>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</si>
  <si>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</si>
  <si>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</si>
  <si>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</si>
  <si>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</si>
  <si>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</si>
  <si>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</si>
  <si>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</si>
  <si>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</si>
  <si>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</si>
  <si>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</si>
  <si>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</si>
  <si>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</si>
  <si>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</si>
  <si>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</si>
  <si>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</si>
  <si>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</si>
  <si>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</si>
  <si>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</si>
  <si>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</si>
  <si>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</si>
  <si>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</si>
  <si>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</si>
  <si>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</si>
  <si>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</si>
  <si>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</si>
  <si>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</si>
  <si>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</si>
  <si>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</si>
  <si>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</si>
  <si>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</si>
  <si>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</si>
  <si>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</si>
  <si>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</si>
  <si>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</si>
  <si>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</si>
  <si>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</si>
  <si>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</si>
  <si>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</si>
  <si>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</si>
  <si>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</si>
  <si>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</si>
  <si>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</si>
  <si>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</si>
  <si>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</si>
  <si>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</si>
  <si>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</si>
  <si>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</si>
  <si>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</si>
  <si>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</si>
  <si>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</si>
  <si>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</si>
  <si>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</si>
  <si>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</si>
  <si>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</si>
  <si>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</si>
  <si>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</si>
  <si>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</si>
  <si>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</si>
  <si>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</si>
  <si>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</si>
  <si>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</si>
  <si>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</si>
  <si>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</si>
  <si>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</si>
  <si>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</si>
  <si>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</si>
  <si>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</si>
  <si>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</si>
  <si>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</si>
  <si>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</si>
  <si>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</si>
  <si>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</si>
  <si>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</si>
  <si>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</si>
  <si>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</si>
  <si>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</si>
  <si>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</si>
  <si>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</si>
  <si>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</si>
  <si>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</si>
  <si>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</si>
  <si>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</si>
  <si>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</si>
  <si>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</si>
  <si>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</si>
  <si>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</si>
  <si>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</si>
  <si>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</si>
  <si>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</si>
  <si>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</si>
  <si>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</si>
  <si>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</si>
  <si>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</si>
  <si>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</si>
  <si>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</si>
  <si>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</si>
  <si>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</si>
  <si>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</si>
  <si>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</si>
  <si>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</si>
  <si>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</si>
  <si>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</si>
  <si>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</si>
  <si>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</si>
  <si>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</si>
  <si>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</si>
  <si>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</si>
  <si>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</si>
  <si>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</si>
  <si>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</si>
  <si>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</si>
  <si>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</si>
  <si>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</si>
  <si>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</si>
  <si>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</si>
  <si>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</si>
  <si>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</si>
  <si>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</si>
  <si>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</si>
  <si>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</si>
  <si>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</si>
  <si>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</si>
  <si>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</si>
  <si>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</si>
  <si>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</si>
  <si>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</si>
  <si>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</si>
  <si>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</si>
  <si>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</si>
  <si>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</si>
  <si>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</si>
  <si>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</si>
  <si>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</si>
  <si>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</si>
  <si>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</si>
  <si>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</si>
  <si>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</si>
  <si>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</si>
  <si>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</si>
  <si>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</si>
  <si>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</si>
  <si>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</si>
  <si>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</si>
  <si>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</si>
  <si>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</si>
  <si>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</si>
  <si>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</si>
  <si>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</si>
  <si>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</si>
  <si>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</si>
  <si>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</si>
  <si>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</si>
  <si>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</si>
  <si>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</si>
  <si>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</si>
  <si>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</si>
  <si>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</si>
  <si>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</si>
  <si>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</si>
  <si>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</si>
  <si>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</si>
  <si>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</si>
  <si>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</si>
  <si>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</si>
  <si>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</si>
  <si>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</si>
  <si>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</si>
  <si>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</si>
  <si>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</si>
  <si>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</si>
  <si>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</si>
  <si>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</si>
  <si>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</si>
  <si>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</si>
  <si>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</si>
  <si>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</si>
  <si>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</si>
  <si>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</si>
  <si>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</si>
  <si>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</si>
  <si>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</si>
  <si>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</si>
  <si>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</si>
  <si>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</si>
  <si>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</si>
  <si>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</si>
  <si>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</si>
  <si>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</si>
  <si>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</si>
  <si>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</si>
  <si>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</si>
  <si>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</si>
  <si>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</si>
  <si>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</si>
  <si>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</si>
  <si>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</si>
  <si>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</si>
  <si>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</si>
  <si>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</si>
  <si>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</si>
  <si>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</si>
  <si>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</si>
  <si>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</si>
  <si>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</si>
  <si>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</si>
  <si>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</si>
  <si>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</si>
  <si>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</si>
  <si>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</si>
  <si>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</si>
  <si>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</si>
  <si>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</si>
  <si>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</si>
  <si>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</si>
  <si>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</si>
  <si>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</si>
  <si>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</si>
  <si>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</si>
  <si>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</si>
  <si>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</si>
  <si>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</si>
  <si>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</si>
  <si>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</si>
  <si>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</si>
  <si>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</si>
  <si>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</si>
  <si>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</si>
  <si>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</si>
  <si>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</si>
  <si>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</si>
  <si>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</si>
  <si>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</si>
  <si>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</si>
  <si>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</si>
  <si>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</si>
  <si>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</si>
  <si>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</si>
  <si>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</si>
  <si>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</si>
  <si>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</si>
  <si>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</si>
  <si>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</si>
  <si>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</si>
  <si>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</si>
  <si>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</si>
  <si>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</si>
  <si>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</si>
  <si>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</si>
  <si>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</si>
  <si>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</si>
  <si>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</si>
  <si>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</si>
  <si>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</si>
  <si>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</si>
  <si>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</si>
  <si>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</si>
  <si>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</si>
  <si>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</si>
  <si>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</si>
  <si>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</si>
  <si>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</si>
  <si>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</si>
  <si>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</si>
  <si>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</si>
  <si>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</si>
  <si>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</si>
  <si>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</si>
  <si>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</si>
  <si>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</si>
  <si>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</si>
  <si>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</si>
  <si>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</si>
  <si>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</si>
  <si>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</si>
  <si>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</si>
  <si>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</si>
  <si>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</si>
  <si>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</si>
  <si>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</si>
  <si>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</si>
  <si>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</si>
  <si>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</si>
  <si>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</si>
  <si>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</si>
  <si>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</si>
  <si>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</si>
  <si>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</si>
  <si>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</si>
  <si>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</si>
  <si>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</si>
  <si>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</si>
  <si>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</si>
  <si>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</si>
  <si>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</si>
  <si>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</si>
  <si>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</si>
  <si>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</si>
  <si>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</si>
  <si>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</si>
  <si>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</si>
  <si>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</si>
  <si>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</si>
  <si>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</si>
  <si>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</si>
  <si>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</si>
  <si>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</si>
  <si>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</si>
  <si>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</si>
  <si>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</si>
  <si>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</si>
  <si>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</si>
  <si>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</si>
  <si>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</si>
  <si>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</si>
  <si>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</si>
  <si>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</si>
  <si>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</si>
  <si>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</si>
  <si>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</si>
  <si>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</si>
  <si>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</si>
  <si>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</si>
  <si>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</si>
  <si>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</si>
  <si>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</si>
  <si>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</si>
  <si>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</si>
  <si>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</si>
  <si>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</si>
  <si>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</si>
  <si>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</si>
  <si>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</si>
  <si>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</si>
  <si>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</si>
  <si>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</si>
  <si>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</si>
  <si>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</si>
  <si>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</si>
  <si>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</si>
  <si>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</si>
  <si>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</si>
  <si>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</si>
  <si>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</si>
  <si>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</si>
  <si>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</si>
  <si>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</si>
  <si>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</si>
  <si>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</si>
  <si>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</si>
  <si>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</si>
  <si>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</si>
  <si>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</si>
  <si>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</si>
  <si>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</si>
  <si>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</si>
  <si>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</si>
  <si>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</si>
  <si>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</si>
  <si>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</si>
  <si>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</si>
  <si>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</si>
  <si>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</si>
  <si>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</si>
  <si>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</si>
  <si>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</si>
  <si>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</si>
  <si>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</si>
  <si>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</si>
  <si>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</si>
  <si>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</si>
  <si>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</si>
  <si>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</si>
  <si>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</si>
  <si>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</si>
  <si>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</si>
  <si>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</si>
  <si>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</si>
  <si>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</si>
  <si>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</si>
  <si>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</si>
  <si>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</si>
  <si>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</si>
  <si>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</si>
  <si>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</si>
  <si>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</si>
  <si>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</si>
  <si>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</si>
  <si>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</si>
  <si>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</si>
  <si>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</si>
  <si>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</si>
  <si>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</si>
  <si>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</si>
  <si>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</si>
  <si>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</si>
  <si>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</si>
  <si>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</si>
  <si>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</si>
  <si>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</si>
  <si>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</si>
  <si>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</si>
  <si>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</si>
  <si>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</si>
  <si>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</si>
  <si>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</si>
  <si>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</si>
  <si>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</si>
  <si>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</si>
  <si>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</si>
  <si>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</si>
  <si>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</si>
  <si>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</si>
  <si>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</si>
  <si>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</si>
  <si>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</si>
  <si>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</si>
  <si>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</si>
  <si>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</si>
  <si>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</si>
  <si>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</si>
  <si>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</si>
  <si>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</si>
  <si>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</si>
  <si>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</si>
  <si>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</si>
  <si>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</si>
  <si>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</si>
  <si>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</si>
  <si>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</si>
  <si>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</si>
  <si>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</si>
  <si>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</si>
  <si>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</si>
  <si>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</si>
  <si>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</si>
  <si>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</si>
  <si>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</si>
  <si>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</si>
  <si>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</si>
  <si>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</si>
  <si>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</si>
  <si>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</si>
  <si>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</si>
  <si>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</si>
  <si>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</si>
  <si>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</si>
  <si>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</si>
  <si>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</si>
  <si>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</si>
  <si>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</si>
  <si>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</si>
  <si>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</si>
  <si>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</si>
  <si>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</si>
  <si>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</si>
  <si>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</si>
  <si>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</si>
  <si>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</si>
  <si>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</si>
  <si>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</si>
  <si>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</si>
  <si>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</si>
  <si>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</si>
  <si>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</si>
  <si>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</si>
  <si>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</si>
  <si>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</si>
  <si>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</si>
  <si>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</si>
  <si>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</si>
  <si>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</si>
  <si>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</si>
  <si>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</si>
  <si>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</si>
  <si>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</si>
  <si>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</si>
  <si>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</si>
  <si>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</si>
  <si>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</si>
  <si>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</si>
  <si>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</si>
  <si>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</si>
  <si>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</si>
  <si>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</si>
  <si>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</si>
  <si>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</si>
  <si>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</si>
  <si>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</si>
  <si>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</si>
  <si>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</si>
  <si>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</si>
  <si>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</si>
  <si>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</si>
  <si>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</si>
  <si>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</si>
  <si>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</si>
  <si>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</si>
  <si>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</si>
  <si>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</si>
  <si>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</si>
  <si>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</si>
  <si>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</si>
  <si>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</si>
  <si>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</si>
  <si>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</si>
  <si>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</si>
  <si>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</si>
  <si>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</si>
  <si>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</si>
  <si>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</si>
  <si>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</si>
  <si>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</si>
  <si>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</si>
  <si>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</si>
  <si>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</si>
  <si>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</si>
  <si>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</si>
  <si>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</si>
  <si>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</si>
  <si>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</si>
  <si>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</si>
  <si>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</si>
  <si>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</si>
  <si>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</si>
  <si>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</si>
  <si>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</si>
  <si>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</si>
  <si>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</si>
  <si>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</si>
  <si>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</si>
  <si>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</si>
  <si>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</si>
  <si>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</si>
  <si>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</si>
  <si>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</si>
  <si>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</si>
  <si>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</si>
  <si>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</si>
  <si>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</si>
  <si>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</si>
  <si>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</si>
  <si>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</si>
  <si>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</si>
  <si>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</si>
  <si>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</si>
  <si>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</si>
  <si>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</si>
  <si>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</si>
  <si>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</si>
  <si>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</si>
  <si>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</si>
  <si>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</si>
  <si>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</si>
  <si>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</si>
  <si>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</si>
  <si>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</si>
  <si>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</si>
  <si>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</si>
  <si>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</si>
  <si>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</si>
  <si>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</si>
  <si>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</si>
  <si>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</si>
  <si>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</si>
  <si>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</si>
  <si>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</si>
  <si>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</si>
  <si>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</si>
  <si>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</si>
  <si>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</si>
  <si>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</si>
  <si>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</si>
  <si>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</si>
  <si>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</si>
  <si>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</si>
  <si>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</si>
  <si>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</si>
  <si>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</si>
  <si>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</si>
  <si>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</si>
  <si>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</si>
  <si>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</si>
  <si>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</si>
  <si>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</si>
  <si>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</si>
  <si>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</si>
  <si>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</si>
  <si>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</si>
  <si>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</si>
  <si>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</si>
  <si>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</si>
  <si>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</si>
  <si>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</si>
  <si>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</si>
  <si>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</si>
  <si>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</si>
  <si>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</si>
  <si>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</si>
  <si>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</si>
  <si>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</si>
  <si>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</si>
  <si>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</si>
  <si>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</si>
  <si>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</si>
  <si>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</si>
  <si>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</si>
  <si>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</si>
  <si>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</si>
  <si>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</si>
  <si>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</si>
  <si>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</si>
  <si>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</si>
  <si>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</si>
  <si>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</si>
  <si>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</si>
  <si>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</si>
  <si>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</si>
  <si>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</si>
  <si>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</si>
  <si>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</si>
  <si>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</si>
  <si>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</si>
  <si>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</si>
  <si>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</si>
  <si>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</si>
  <si>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</si>
  <si>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</si>
  <si>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</si>
  <si>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</si>
  <si>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</si>
  <si>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</si>
  <si>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</si>
  <si>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</si>
  <si>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</si>
  <si>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</si>
  <si>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</si>
  <si>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</si>
  <si>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</si>
  <si>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</si>
  <si>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</si>
  <si>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</si>
  <si>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</si>
  <si>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</si>
  <si>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</si>
  <si>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</si>
  <si>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</si>
  <si>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</si>
  <si>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</si>
  <si>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</si>
  <si>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</si>
  <si>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</si>
  <si>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</si>
  <si>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</si>
  <si>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</si>
  <si>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</si>
  <si>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</si>
  <si>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</si>
  <si>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</si>
  <si>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</si>
  <si>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</si>
  <si>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</si>
  <si>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</si>
  <si>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</si>
  <si>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</si>
  <si>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</si>
  <si>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</si>
  <si>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</si>
  <si>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</si>
  <si>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</si>
  <si>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</si>
  <si>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</si>
  <si>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</si>
  <si>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</si>
  <si>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</si>
  <si>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</si>
  <si>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</si>
  <si>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</si>
  <si>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</si>
  <si>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</si>
  <si>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</si>
  <si>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</si>
  <si>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</si>
  <si>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</si>
  <si>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</si>
  <si>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</si>
  <si>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</si>
  <si>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</si>
  <si>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</si>
  <si>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</si>
  <si>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</si>
  <si>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</si>
  <si>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</si>
  <si>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</si>
  <si>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</si>
  <si>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</si>
  <si>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</si>
  <si>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</si>
  <si>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</si>
  <si>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</si>
  <si>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</si>
  <si>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</si>
  <si>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</si>
  <si>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</si>
  <si>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</si>
  <si>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</si>
  <si>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</si>
  <si>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</si>
  <si>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</si>
  <si>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</si>
  <si>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</si>
  <si>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</si>
  <si>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</si>
  <si>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</si>
  <si>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</si>
  <si>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</si>
  <si>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</si>
  <si>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</si>
  <si>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</si>
  <si>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</si>
  <si>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</si>
  <si>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</si>
  <si>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</si>
  <si>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</si>
  <si>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</si>
  <si>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</si>
  <si>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</si>
  <si>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</si>
  <si>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</si>
  <si>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</si>
  <si>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</si>
  <si>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</si>
  <si>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</si>
  <si>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</si>
  <si>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</si>
  <si>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</si>
  <si>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</si>
  <si>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</si>
  <si>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</si>
  <si>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</si>
  <si>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</si>
  <si>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</si>
  <si>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</si>
  <si>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</si>
  <si>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</si>
  <si>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</si>
  <si>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</si>
  <si>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</si>
  <si>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</si>
  <si>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</si>
  <si>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</si>
  <si>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</si>
  <si>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</si>
  <si>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</si>
  <si>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</si>
  <si>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</si>
  <si>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</si>
  <si>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</si>
  <si>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</si>
  <si>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</si>
  <si>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</si>
  <si>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</si>
  <si>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</si>
  <si>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</si>
  <si>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</si>
  <si>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</si>
  <si>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</si>
  <si>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</si>
  <si>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</si>
  <si>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</si>
  <si>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</si>
  <si>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</si>
  <si>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</si>
  <si>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</si>
  <si>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</si>
  <si>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</si>
  <si>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</si>
  <si>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</si>
  <si>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</si>
  <si>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</si>
  <si>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</si>
  <si>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</si>
  <si>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</si>
  <si>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</si>
  <si>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</si>
  <si>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</si>
  <si>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</si>
  <si>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</si>
  <si>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</si>
  <si>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</si>
  <si>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</si>
  <si>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</si>
  <si>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</si>
  <si>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</si>
  <si>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</si>
  <si>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</si>
  <si>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</si>
  <si>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</si>
  <si>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</si>
  <si>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</si>
  <si>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</si>
  <si>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</si>
  <si>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</si>
  <si>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</si>
  <si>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</si>
  <si>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</si>
  <si>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</si>
  <si>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</si>
  <si>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</si>
  <si>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</si>
  <si>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</si>
  <si>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</si>
  <si>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</si>
  <si>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</si>
  <si>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</si>
  <si>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</si>
  <si>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</si>
  <si>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</si>
  <si>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</si>
  <si>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</si>
  <si>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</si>
  <si>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</si>
  <si>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</si>
  <si>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</si>
  <si>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</si>
  <si>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</si>
  <si>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</si>
  <si>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</si>
  <si>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</si>
  <si>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</si>
  <si>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</si>
  <si>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</si>
  <si>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</si>
  <si>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</si>
  <si>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</si>
  <si>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</si>
  <si>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</si>
  <si>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</si>
  <si>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</si>
  <si>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</si>
  <si>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</si>
  <si>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</si>
  <si>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</si>
  <si>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</si>
  <si>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</si>
  <si>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</si>
  <si>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</si>
  <si>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</si>
  <si>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</si>
  <si>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</si>
  <si>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</si>
  <si>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</si>
  <si>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</si>
  <si>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</si>
  <si>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</si>
  <si>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</si>
  <si>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</si>
  <si>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</si>
  <si>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</si>
  <si>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</si>
  <si>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</si>
  <si>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</si>
  <si>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</si>
  <si>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</si>
  <si>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</si>
  <si>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</si>
  <si>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</si>
  <si>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</si>
  <si>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</si>
  <si>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</si>
  <si>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</si>
  <si>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</si>
  <si>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</si>
  <si>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</si>
  <si>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</si>
  <si>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</si>
  <si>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</si>
  <si>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</si>
  <si>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</si>
  <si>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</si>
  <si>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</si>
  <si>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</si>
  <si>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</si>
  <si>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</si>
  <si>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</si>
  <si>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</si>
  <si>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</si>
  <si>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</si>
  <si>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</si>
  <si>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</si>
  <si>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</si>
  <si>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</si>
  <si>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</si>
  <si>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</si>
  <si>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</si>
  <si>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</si>
  <si>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</si>
  <si>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</si>
  <si>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</si>
  <si>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</si>
  <si>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</si>
  <si>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</si>
  <si>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</si>
  <si>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</si>
  <si>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</si>
  <si>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</si>
  <si>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</si>
  <si>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</si>
  <si>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</si>
  <si>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</si>
  <si>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</si>
  <si>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</si>
  <si>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</si>
  <si>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</si>
  <si>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</si>
  <si>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</si>
  <si>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</si>
  <si>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</si>
  <si>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</si>
  <si>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</si>
  <si>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</si>
  <si>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</si>
  <si>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</si>
  <si>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</si>
  <si>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</si>
  <si>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</si>
  <si>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</si>
  <si>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</si>
  <si>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</si>
  <si>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</si>
  <si>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</si>
  <si>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</si>
  <si>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</si>
  <si>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</si>
  <si>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</si>
  <si>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</si>
  <si>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</si>
  <si>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</si>
  <si>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</si>
  <si>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</si>
  <si>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</si>
  <si>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</si>
  <si>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</si>
  <si>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</si>
  <si>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</si>
  <si>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</si>
  <si>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</si>
  <si>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</si>
  <si>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</si>
  <si>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</si>
  <si>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</si>
  <si>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</si>
  <si>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</si>
  <si>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</si>
  <si>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</si>
  <si>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</si>
  <si>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</si>
  <si>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</si>
  <si>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</si>
  <si>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</si>
  <si>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</si>
  <si>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</si>
  <si>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</si>
  <si>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</si>
  <si>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</si>
  <si>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</si>
  <si>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</si>
  <si>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</si>
  <si>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</si>
  <si>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</si>
  <si>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</si>
  <si>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</si>
  <si>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</si>
  <si>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</si>
  <si>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</si>
  <si>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</si>
  <si>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</si>
  <si>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</si>
  <si>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</si>
  <si>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</si>
  <si>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</si>
  <si>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</si>
  <si>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</si>
  <si>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</si>
  <si>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</si>
  <si>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</si>
  <si>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</si>
  <si>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</si>
  <si>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</si>
  <si>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</si>
  <si>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</si>
  <si>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</si>
  <si>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</si>
  <si>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</si>
  <si>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</si>
  <si>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</si>
  <si>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</si>
  <si>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</si>
  <si>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</si>
  <si>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</si>
  <si>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</si>
  <si>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</si>
  <si>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</si>
  <si>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</si>
  <si>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</si>
  <si>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</si>
  <si>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</si>
  <si>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</si>
  <si>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</si>
  <si>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</si>
  <si>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</si>
  <si>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</si>
  <si>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</si>
  <si>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</si>
  <si>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</si>
  <si>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</si>
  <si>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</si>
  <si>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</si>
  <si>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</si>
  <si>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</si>
  <si>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</si>
  <si>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</si>
  <si>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</si>
  <si>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</si>
  <si>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</si>
  <si>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</si>
  <si>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</si>
  <si>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</si>
  <si>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</si>
  <si>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</si>
  <si>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</si>
  <si>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</si>
  <si>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</si>
  <si>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</si>
  <si>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</si>
  <si>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</si>
  <si>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</si>
  <si>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</si>
  <si>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</si>
  <si>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</si>
  <si>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</si>
  <si>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</si>
  <si>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</si>
  <si>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</si>
  <si>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</si>
  <si>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</si>
  <si>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</si>
  <si>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</si>
  <si>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</si>
  <si>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</si>
  <si>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</si>
  <si>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</si>
  <si>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</si>
  <si>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</si>
  <si>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</si>
  <si>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</si>
  <si>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</si>
  <si>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</si>
  <si>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</si>
  <si>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</si>
  <si>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</si>
  <si>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</si>
  <si>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</si>
  <si>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</si>
  <si>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</si>
  <si>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</si>
  <si>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</si>
  <si>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</si>
  <si>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</si>
  <si>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</si>
  <si>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</si>
  <si>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</si>
  <si>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</si>
  <si>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</si>
  <si>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</si>
  <si>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</si>
  <si>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</si>
  <si>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</si>
  <si>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</si>
  <si>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</si>
  <si>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</si>
  <si>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</si>
  <si>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</si>
  <si>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</si>
  <si>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</si>
  <si>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</si>
  <si>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</si>
  <si>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</si>
  <si>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</si>
  <si>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</si>
  <si>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</si>
  <si>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</si>
  <si>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</si>
  <si>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</si>
  <si>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</si>
  <si>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</si>
  <si>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Cement Producer</t>
  </si>
  <si>
    <t>Cement street 2023</t>
  </si>
  <si>
    <t>Clinker and cement</t>
  </si>
  <si>
    <t>123456</t>
  </si>
  <si>
    <t>XYZ</t>
  </si>
  <si>
    <t>Example City</t>
  </si>
  <si>
    <t>TR ABC</t>
  </si>
  <si>
    <t>16.6911279°</t>
  </si>
  <si>
    <t>147.80337464°</t>
  </si>
  <si>
    <t>Cement Bubble</t>
  </si>
  <si>
    <t>Coal</t>
  </si>
  <si>
    <t>Household waste</t>
  </si>
  <si>
    <t>25232900</t>
  </si>
  <si>
    <t>Portland Cement Art. Nr.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</si>
</sst>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68" xfId="0" applyFont="1" applyFill="1" applyBorder="1" applyAlignment="1" applyProtection="1">
      <alignment horizontal="left" vertical="top" wrapText="1"/>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1" fillId="16" borderId="8" xfId="1" applyFont="1" applyFill="1" applyBorder="1" applyAlignment="1" applyProtection="1">
      <alignment horizontal="center" vertical="center" wrapText="1"/>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0" fillId="0" borderId="0" xfId="0" applyAlignment="1">
      <alignment horizontal="left" vertical="top" wrapText="1"/>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1" fillId="2" borderId="0" xfId="1" applyFont="1" applyFill="1" applyBorder="1" applyAlignment="1" applyProtection="1">
      <alignment horizontal="left" vertical="center"/>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25" fillId="2" borderId="0" xfId="0" applyFont="1" applyFill="1" applyBorder="1" applyAlignment="1" applyProtection="1">
      <alignment horizontal="left" vertical="top" wrapText="1"/>
    </xf>
    <xf numFmtId="0" fontId="42" fillId="0" borderId="0" xfId="0" applyFont="1" applyBorder="1" applyAlignment="1" applyProtection="1">
      <alignment horizontal="left" vertical="top"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73" fillId="16" borderId="8" xfId="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33" fillId="24" borderId="0" xfId="0" applyFont="1" applyFill="1" applyBorder="1" applyAlignment="1" applyProtection="1">
      <alignmen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0" fontId="3" fillId="13" borderId="19"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36" fillId="24" borderId="0" xfId="0" applyFont="1" applyFill="1" applyBorder="1" applyAlignment="1" applyProtection="1">
      <alignment horizontal="left" vertical="top"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5" fillId="13" borderId="0" xfId="0" applyFont="1" applyFill="1" applyAlignment="1" applyProtection="1">
      <alignment horizontal="left" vertical="top"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0" fontId="1" fillId="16" borderId="63" xfId="1" applyFont="1" applyFill="1" applyBorder="1" applyAlignment="1" applyProtection="1">
      <alignment horizontal="center" vertical="center"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2" fillId="6" borderId="12" xfId="0" applyFont="1" applyFill="1" applyBorder="1" applyAlignment="1" applyProtection="1">
      <alignment horizontal="left" vertical="center"/>
    </xf>
    <xf numFmtId="0" fontId="65"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16" borderId="105" xfId="1" applyFont="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118" xfId="1" applyFont="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77"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1" fillId="16" borderId="105" xfId="1" applyFill="1" applyBorder="1" applyAlignment="1" applyProtection="1">
      <alignment horizontal="center"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65" fillId="0" borderId="0" xfId="0" applyFont="1" applyBorder="1" applyAlignment="1" applyProtection="1">
      <alignment horizontal="left" vertical="top" wrapText="1"/>
    </xf>
    <xf numFmtId="0" fontId="65" fillId="24" borderId="0" xfId="0" quotePrefix="1" applyFont="1" applyFill="1" applyBorder="1" applyAlignment="1" applyProtection="1">
      <alignment horizontal="left" vertical="top" wrapText="1"/>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0" fillId="0" borderId="0" xfId="0" applyBorder="1" applyAlignment="1" applyProtection="1">
      <alignment horizontal="left" vertical="top" wrapText="1"/>
    </xf>
    <xf numFmtId="0" fontId="65" fillId="24" borderId="0" xfId="0" applyFont="1" applyFill="1" applyBorder="1" applyAlignment="1" applyProtection="1">
      <alignment vertical="top" wrapText="1"/>
    </xf>
    <xf numFmtId="0" fontId="70" fillId="24" borderId="0" xfId="0" applyFont="1" applyFill="1" applyBorder="1" applyAlignment="1" applyProtection="1">
      <alignment vertical="top" wrapText="1"/>
    </xf>
    <xf numFmtId="0" fontId="10" fillId="13" borderId="0" xfId="0" applyNumberFormat="1" applyFont="1" applyFill="1"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0" fillId="2" borderId="21" xfId="0" applyFont="1" applyFill="1" applyBorder="1" applyAlignment="1">
      <alignment horizontal="left" vertical="top" wrapText="1"/>
    </xf>
    <xf numFmtId="0" fontId="37" fillId="2" borderId="47"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0" fillId="2" borderId="21"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55" fillId="24" borderId="0" xfId="0" applyFont="1" applyFill="1" applyBorder="1" applyAlignment="1" applyProtection="1">
      <alignment vertical="top" wrapText="1"/>
    </xf>
    <xf numFmtId="0" fontId="37" fillId="2" borderId="23" xfId="0" applyFont="1" applyFill="1" applyBorder="1" applyAlignment="1" applyProtection="1">
      <alignment horizontal="left" vertical="top" wrapText="1"/>
    </xf>
    <xf numFmtId="0" fontId="55" fillId="2" borderId="19" xfId="0" applyFont="1" applyFill="1" applyBorder="1" applyAlignment="1" applyProtection="1">
      <alignment horizontal="left" wrapText="1"/>
    </xf>
    <xf numFmtId="0" fontId="0" fillId="0" borderId="21" xfId="0" applyFont="1" applyBorder="1" applyAlignment="1">
      <alignment horizontal="left" vertical="top" wrapText="1"/>
    </xf>
    <xf numFmtId="0" fontId="37" fillId="24" borderId="0" xfId="0" applyFont="1" applyFill="1" applyBorder="1" applyAlignment="1" applyProtection="1">
      <alignment vertical="top" wrapText="1"/>
    </xf>
    <xf numFmtId="0" fontId="0" fillId="0" borderId="47" xfId="0" applyBorder="1" applyAlignment="1">
      <alignment horizontal="lef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36" fillId="2" borderId="26" xfId="0" applyFont="1" applyFill="1" applyBorder="1" applyAlignment="1" applyProtection="1">
      <alignment horizontal="left" vertical="top" wrapText="1"/>
    </xf>
    <xf numFmtId="0" fontId="1" fillId="2" borderId="47" xfId="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0" fillId="2" borderId="47" xfId="0" applyFill="1" applyBorder="1" applyAlignment="1">
      <alignment horizontal="left" vertical="top" wrapText="1"/>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65" fillId="2" borderId="26" xfId="0" applyFont="1" applyFill="1" applyBorder="1" applyAlignment="1" applyProtection="1">
      <alignment horizontal="right" vertical="top" wrapText="1" indent="1"/>
    </xf>
    <xf numFmtId="0" fontId="65" fillId="2" borderId="0"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65" fillId="2" borderId="23" xfId="0" quotePrefix="1"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36" fillId="2" borderId="42" xfId="0" applyFont="1" applyFill="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6">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5" sqref="B5"/>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75" t="str">
        <f>Translations!$B$5</f>
        <v>Version history</v>
      </c>
      <c r="C2" s="1176"/>
      <c r="D2" s="1177"/>
      <c r="E2" s="1184" t="str">
        <f>Translations!$B$11</f>
        <v>Navigation Area:</v>
      </c>
      <c r="F2" s="1185"/>
      <c r="G2" s="1186" t="str">
        <f ca="1">HYPERLINK("#"&amp;ADDRESS(2,3,,,a_Contents!$U$2),a_Contents!$B$2)</f>
        <v>Table of contents</v>
      </c>
      <c r="H2" s="1187"/>
      <c r="I2" s="1186" t="str">
        <f ca="1">HYPERLINK("#"&amp;ADDRESS(2,3,,,G_FurtherGuidance!$U$2),G_FurtherGuidance!$B$2)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78"/>
      <c r="C3" s="1179"/>
      <c r="D3" s="1180"/>
      <c r="E3" s="1171"/>
      <c r="F3" s="1171"/>
      <c r="G3" s="1171"/>
      <c r="H3" s="1171"/>
      <c r="I3" s="1171"/>
      <c r="J3" s="1171"/>
      <c r="K3" s="1171"/>
      <c r="L3" s="1171"/>
      <c r="M3" s="1171"/>
      <c r="N3" s="1171"/>
      <c r="O3" s="428"/>
      <c r="P3" s="94"/>
      <c r="R3" s="91"/>
      <c r="S3" s="91"/>
      <c r="T3" s="91"/>
      <c r="U3" s="91"/>
    </row>
    <row r="4" spans="1:21" s="93" customFormat="1" ht="14.1" customHeight="1" thickBot="1" x14ac:dyDescent="0.35">
      <c r="A4" s="91"/>
      <c r="B4" s="1181"/>
      <c r="C4" s="1182"/>
      <c r="D4" s="1183"/>
      <c r="E4" s="1171"/>
      <c r="F4" s="1171"/>
      <c r="G4" s="1171"/>
      <c r="H4" s="1171"/>
      <c r="I4" s="1171"/>
      <c r="J4" s="1171"/>
      <c r="K4" s="1171"/>
      <c r="L4" s="1171"/>
      <c r="M4" s="1171"/>
      <c r="N4" s="1171"/>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2" t="str">
        <f>Translations!$B$9</f>
        <v>Description</v>
      </c>
      <c r="H8" s="1172"/>
      <c r="I8" s="1172"/>
      <c r="J8" s="1172"/>
      <c r="K8" s="1172"/>
      <c r="L8" s="1172"/>
      <c r="M8" s="1172"/>
      <c r="N8" s="1172"/>
      <c r="O8" s="428"/>
      <c r="P8" s="94"/>
    </row>
    <row r="9" spans="1:21" ht="12.75" customHeight="1" x14ac:dyDescent="0.25">
      <c r="A9" s="99"/>
      <c r="B9" s="101"/>
      <c r="C9" s="983"/>
      <c r="D9" s="984"/>
      <c r="E9" s="749" t="s">
        <v>3898</v>
      </c>
      <c r="F9" s="745">
        <v>45159</v>
      </c>
      <c r="G9" s="1173" t="str">
        <f>Translations!$B$1889</f>
        <v>first preliminary published version</v>
      </c>
      <c r="H9" s="1174"/>
      <c r="I9" s="1174"/>
      <c r="J9" s="1174"/>
      <c r="K9" s="1174"/>
      <c r="L9" s="1174"/>
      <c r="M9" s="1174"/>
      <c r="N9" s="1174"/>
      <c r="O9" s="428"/>
      <c r="P9" s="94"/>
    </row>
    <row r="10" spans="1:21" ht="13.2" customHeight="1" x14ac:dyDescent="0.25">
      <c r="B10" s="94"/>
      <c r="C10" s="144"/>
      <c r="D10" s="144"/>
      <c r="E10" s="827" t="s">
        <v>3899</v>
      </c>
      <c r="F10" s="824">
        <v>45222</v>
      </c>
      <c r="G10" s="1159" t="str">
        <f>Translations!$B$1890</f>
        <v>Sheet A: UNLOCODE made mandatory</v>
      </c>
      <c r="H10" s="1160"/>
      <c r="I10" s="1160"/>
      <c r="J10" s="1160"/>
      <c r="K10" s="1160"/>
      <c r="L10" s="1160"/>
      <c r="M10" s="1160"/>
      <c r="N10" s="1161"/>
      <c r="O10" s="428"/>
      <c r="P10" s="94"/>
    </row>
    <row r="11" spans="1:21" ht="13.2" customHeight="1" x14ac:dyDescent="0.25">
      <c r="B11" s="94"/>
      <c r="C11" s="144"/>
      <c r="D11" s="144"/>
      <c r="E11" s="986"/>
      <c r="F11" s="825"/>
      <c r="G11" s="1168" t="str">
        <f>Translations!$B$1891</f>
        <v>Sheet B: Calculation of emissions corrected (incl. adding missing factor of 3.664 in the mass balance)</v>
      </c>
      <c r="H11" s="1169"/>
      <c r="I11" s="1169"/>
      <c r="J11" s="1169"/>
      <c r="K11" s="1169"/>
      <c r="L11" s="1169"/>
      <c r="M11" s="1169"/>
      <c r="N11" s="1170"/>
      <c r="O11" s="428"/>
      <c r="P11" s="94"/>
    </row>
    <row r="12" spans="1:21" ht="13.2" customHeight="1" x14ac:dyDescent="0.25">
      <c r="B12" s="94"/>
      <c r="C12" s="144"/>
      <c r="D12" s="144"/>
      <c r="E12" s="986"/>
      <c r="F12" s="825"/>
      <c r="G12" s="1168" t="str">
        <f>Translations!$B$1892</f>
        <v>Sheet C: Inconsistency between cells L16 and L17 fixed</v>
      </c>
      <c r="H12" s="1169"/>
      <c r="I12" s="1169"/>
      <c r="J12" s="1169"/>
      <c r="K12" s="1169"/>
      <c r="L12" s="1169"/>
      <c r="M12" s="1169"/>
      <c r="N12" s="1170"/>
      <c r="O12" s="428"/>
      <c r="P12" s="94"/>
    </row>
    <row r="13" spans="1:21" ht="13.2" customHeight="1" x14ac:dyDescent="0.25">
      <c r="B13" s="94"/>
      <c r="C13" s="144"/>
      <c r="D13" s="144"/>
      <c r="E13" s="986"/>
      <c r="F13" s="825"/>
      <c r="G13" s="1168" t="str">
        <f>Translations!$B$1893</f>
        <v>Sheet D: Electricity exported bug fixed</v>
      </c>
      <c r="H13" s="1169"/>
      <c r="I13" s="1169"/>
      <c r="J13" s="1169"/>
      <c r="K13" s="1169"/>
      <c r="L13" s="1169"/>
      <c r="M13" s="1169"/>
      <c r="N13" s="1170"/>
      <c r="O13" s="428"/>
      <c r="P13" s="94"/>
    </row>
    <row r="14" spans="1:21" ht="13.2" customHeight="1" x14ac:dyDescent="0.25">
      <c r="B14" s="94"/>
      <c r="C14" s="144"/>
      <c r="D14" s="144"/>
      <c r="E14" s="986"/>
      <c r="F14" s="825"/>
      <c r="G14" s="1168" t="str">
        <f>Translations!$B$1894</f>
        <v>Sheet Summary processes: broken references to “production process 1” fixed</v>
      </c>
      <c r="H14" s="1169"/>
      <c r="I14" s="1169"/>
      <c r="J14" s="1169"/>
      <c r="K14" s="1169"/>
      <c r="L14" s="1169"/>
      <c r="M14" s="1169"/>
      <c r="N14" s="1170"/>
      <c r="O14" s="428"/>
      <c r="P14" s="94"/>
    </row>
    <row r="15" spans="1:21" ht="13.2" customHeight="1" x14ac:dyDescent="0.25">
      <c r="B15" s="94"/>
      <c r="C15" s="144"/>
      <c r="D15" s="144"/>
      <c r="E15" s="987"/>
      <c r="F15" s="826"/>
      <c r="G15" s="1162" t="str">
        <f>Translations!$B$1895</f>
        <v>Sheet Summary products: Scrap per t steel/aluminium: values &gt;100% can be entered now</v>
      </c>
      <c r="H15" s="1163"/>
      <c r="I15" s="1163"/>
      <c r="J15" s="1163"/>
      <c r="K15" s="1163"/>
      <c r="L15" s="1163"/>
      <c r="M15" s="1163"/>
      <c r="N15" s="1164"/>
      <c r="O15" s="428"/>
      <c r="P15" s="94"/>
    </row>
    <row r="16" spans="1:21" ht="12.75" customHeight="1" x14ac:dyDescent="0.25">
      <c r="B16" s="94"/>
      <c r="C16" s="144"/>
      <c r="D16" s="144"/>
      <c r="E16" s="749" t="s">
        <v>3904</v>
      </c>
      <c r="F16" s="745">
        <v>45237</v>
      </c>
      <c r="G16" s="1165" t="str">
        <f>Translations!$B$1896</f>
        <v>Fixed bug 'CN code ranges' in sheet Summary_Products</v>
      </c>
      <c r="H16" s="1166"/>
      <c r="I16" s="1166"/>
      <c r="J16" s="1166"/>
      <c r="K16" s="1166"/>
      <c r="L16" s="1166"/>
      <c r="M16" s="1166"/>
      <c r="N16" s="1166"/>
      <c r="O16" s="428"/>
      <c r="P16" s="94"/>
    </row>
    <row r="17" spans="2:16" ht="13.2" customHeight="1" x14ac:dyDescent="0.25">
      <c r="B17" s="94"/>
      <c r="C17" s="144"/>
      <c r="D17" s="144"/>
      <c r="E17" s="827" t="s">
        <v>3923</v>
      </c>
      <c r="F17" s="824">
        <v>45370</v>
      </c>
      <c r="G17" s="1167" t="str">
        <f>Translations!$B$1897</f>
        <v>Improvements and fixed bugs:</v>
      </c>
      <c r="H17" s="1160"/>
      <c r="I17" s="1160"/>
      <c r="J17" s="1160"/>
      <c r="K17" s="1160"/>
      <c r="L17" s="1160"/>
      <c r="M17" s="1160"/>
      <c r="N17" s="1161"/>
      <c r="O17" s="428"/>
      <c r="P17" s="94"/>
    </row>
    <row r="18" spans="2:16" ht="13.2" customHeight="1" x14ac:dyDescent="0.25">
      <c r="B18" s="94"/>
      <c r="C18" s="144"/>
      <c r="D18" s="144"/>
      <c r="E18" s="986"/>
      <c r="F18" s="825"/>
      <c r="G18" s="1168" t="str">
        <f>Translations!$B$1898</f>
        <v>Sheet a_contents: Error in sheet names in table of contents for certain Excel versions</v>
      </c>
      <c r="H18" s="1169"/>
      <c r="I18" s="1169"/>
      <c r="J18" s="1169"/>
      <c r="K18" s="1169"/>
      <c r="L18" s="1169"/>
      <c r="M18" s="1169"/>
      <c r="N18" s="1170"/>
      <c r="O18" s="428"/>
      <c r="P18" s="94"/>
    </row>
    <row r="19" spans="2:16" ht="13.2" customHeight="1" x14ac:dyDescent="0.25">
      <c r="B19" s="94"/>
      <c r="C19" s="144"/>
      <c r="D19" s="144"/>
      <c r="E19" s="986"/>
      <c r="F19" s="825"/>
      <c r="G19" s="1168" t="str">
        <f>Translations!$B$1899</f>
        <v>Sheet b: Link to implementing act corrected</v>
      </c>
      <c r="H19" s="1169"/>
      <c r="I19" s="1169"/>
      <c r="J19" s="1169"/>
      <c r="K19" s="1169"/>
      <c r="L19" s="1169"/>
      <c r="M19" s="1169"/>
      <c r="N19" s="1170"/>
      <c r="O19" s="428"/>
      <c r="P19" s="94"/>
    </row>
    <row r="20" spans="2:16" ht="13.2" customHeight="1" x14ac:dyDescent="0.25">
      <c r="B20" s="94"/>
      <c r="C20" s="144"/>
      <c r="D20" s="144"/>
      <c r="E20" s="986"/>
      <c r="F20" s="825"/>
      <c r="G20" s="1168" t="str">
        <f>Translations!$B$1900</f>
        <v>Sheet A: Inconsistency warning for production routes added</v>
      </c>
      <c r="H20" s="1188"/>
      <c r="I20" s="1188"/>
      <c r="J20" s="1188"/>
      <c r="K20" s="1188"/>
      <c r="L20" s="1188"/>
      <c r="M20" s="1188"/>
      <c r="N20" s="1170"/>
      <c r="O20" s="428"/>
      <c r="P20" s="94"/>
    </row>
    <row r="21" spans="2:16" ht="26.4" customHeight="1" x14ac:dyDescent="0.25">
      <c r="B21" s="94"/>
      <c r="C21" s="144"/>
      <c r="D21" s="144"/>
      <c r="E21" s="986"/>
      <c r="F21" s="825"/>
      <c r="G21" s="1168" t="str">
        <f>Translations!$B$1901</f>
        <v>Sheet B: Source stream calculation corrected (all percentage values need to be entered as numbers [0..100]). A warning for incomplete data has been added.</v>
      </c>
      <c r="H21" s="1169"/>
      <c r="I21" s="1169"/>
      <c r="J21" s="1169"/>
      <c r="K21" s="1169"/>
      <c r="L21" s="1169"/>
      <c r="M21" s="1169"/>
      <c r="N21" s="1170"/>
      <c r="O21" s="428"/>
      <c r="P21" s="94"/>
    </row>
    <row r="22" spans="2:16" ht="13.2" customHeight="1" x14ac:dyDescent="0.25">
      <c r="B22" s="94"/>
      <c r="C22" s="144"/>
      <c r="D22" s="144"/>
      <c r="E22" s="986"/>
      <c r="F22" s="825"/>
      <c r="G22" s="1168" t="str">
        <f>Translations!$B$1902</f>
        <v>Sheet B: PFC emissions (2nd source stream) incl. further improvements</v>
      </c>
      <c r="H22" s="1169"/>
      <c r="I22" s="1169"/>
      <c r="J22" s="1169"/>
      <c r="K22" s="1169"/>
      <c r="L22" s="1169"/>
      <c r="M22" s="1169"/>
      <c r="N22" s="1170"/>
      <c r="O22" s="428"/>
      <c r="P22" s="94"/>
    </row>
    <row r="23" spans="2:16" ht="13.2" customHeight="1" x14ac:dyDescent="0.25">
      <c r="B23" s="94"/>
      <c r="C23" s="144"/>
      <c r="D23" s="144"/>
      <c r="E23" s="986"/>
      <c r="F23" s="825"/>
      <c r="G23" s="1168" t="str">
        <f>Translations!$B$1903</f>
        <v>Sheet C: Fixed inputs and formulae in L25 and L26</v>
      </c>
      <c r="H23" s="1169"/>
      <c r="I23" s="1169"/>
      <c r="J23" s="1169"/>
      <c r="K23" s="1169"/>
      <c r="L23" s="1169"/>
      <c r="M23" s="1169"/>
      <c r="N23" s="1170"/>
      <c r="O23" s="428"/>
      <c r="P23" s="94"/>
    </row>
    <row r="24" spans="2:16" ht="39.6" customHeight="1" x14ac:dyDescent="0.25">
      <c r="B24" s="94"/>
      <c r="C24" s="144"/>
      <c r="D24" s="144"/>
      <c r="E24" s="986"/>
      <c r="F24" s="825"/>
      <c r="G24" s="1168"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69"/>
      <c r="I24" s="1169"/>
      <c r="J24" s="1169"/>
      <c r="K24" s="1169"/>
      <c r="L24" s="1169"/>
      <c r="M24" s="1169"/>
      <c r="N24" s="1170"/>
      <c r="O24" s="428"/>
      <c r="P24" s="94"/>
    </row>
    <row r="25" spans="2:16" ht="13.2" customHeight="1" x14ac:dyDescent="0.25">
      <c r="B25" s="94"/>
      <c r="C25" s="144"/>
      <c r="D25" s="144"/>
      <c r="E25" s="986"/>
      <c r="F25" s="825"/>
      <c r="G25" s="1168" t="str">
        <f>Translations!$B$1905</f>
        <v>Sheet E: More completeness indicators added.</v>
      </c>
      <c r="H25" s="1169"/>
      <c r="I25" s="1169"/>
      <c r="J25" s="1169"/>
      <c r="K25" s="1169"/>
      <c r="L25" s="1169"/>
      <c r="M25" s="1169"/>
      <c r="N25" s="1170"/>
      <c r="O25" s="428"/>
      <c r="P25" s="94"/>
    </row>
    <row r="26" spans="2:16" ht="13.2" customHeight="1" x14ac:dyDescent="0.25">
      <c r="B26" s="94"/>
      <c r="C26" s="144"/>
      <c r="D26" s="144"/>
      <c r="E26" s="986"/>
      <c r="F26" s="825"/>
      <c r="G26" s="1168" t="str">
        <f>Translations!$B$1906</f>
        <v>Sheet E: Navigation area extended to cover all 20 possible precursors</v>
      </c>
      <c r="H26" s="1169"/>
      <c r="I26" s="1169"/>
      <c r="J26" s="1169"/>
      <c r="K26" s="1169"/>
      <c r="L26" s="1169"/>
      <c r="M26" s="1169"/>
      <c r="N26" s="1170"/>
      <c r="O26" s="428"/>
      <c r="P26" s="94"/>
    </row>
    <row r="27" spans="2:16" ht="13.2" customHeight="1" x14ac:dyDescent="0.25">
      <c r="B27" s="94"/>
      <c r="C27" s="144"/>
      <c r="D27" s="144"/>
      <c r="E27" s="986"/>
      <c r="F27" s="825"/>
      <c r="G27" s="1168" t="str">
        <f>Translations!$B$1907</f>
        <v>Sheet F: CHP tool corrected for taking into account emissions from flue gas cleaning.</v>
      </c>
      <c r="H27" s="1188"/>
      <c r="I27" s="1188"/>
      <c r="J27" s="1188"/>
      <c r="K27" s="1188"/>
      <c r="L27" s="1188"/>
      <c r="M27" s="1188"/>
      <c r="N27" s="1170"/>
      <c r="O27" s="428"/>
      <c r="P27" s="94"/>
    </row>
    <row r="28" spans="2:16" ht="13.2" customHeight="1" x14ac:dyDescent="0.25">
      <c r="B28" s="94"/>
      <c r="C28" s="144"/>
      <c r="D28" s="144"/>
      <c r="E28" s="986"/>
      <c r="F28" s="825"/>
      <c r="G28" s="1168" t="str">
        <f>Translations!$B$1908</f>
        <v>Sheet G: Guidance texts have been revised. An additional guidance section for sheet E has been added.</v>
      </c>
      <c r="H28" s="1188"/>
      <c r="I28" s="1188"/>
      <c r="J28" s="1188"/>
      <c r="K28" s="1188"/>
      <c r="L28" s="1188"/>
      <c r="M28" s="1188"/>
      <c r="N28" s="1170"/>
      <c r="O28" s="428"/>
      <c r="P28" s="94"/>
    </row>
    <row r="29" spans="2:16" ht="25.5" customHeight="1" x14ac:dyDescent="0.25">
      <c r="B29" s="94"/>
      <c r="C29" s="144"/>
      <c r="D29" s="144"/>
      <c r="E29" s="986"/>
      <c r="F29" s="825"/>
      <c r="G29" s="1168" t="str">
        <f>Translations!$B$1909</f>
        <v>Sheet Summary_Processes: The processes' activity levels have been added in Table 2.1.a. Corrected  CP due and rebate in the sectio 3 tables.</v>
      </c>
      <c r="H29" s="1169"/>
      <c r="I29" s="1169"/>
      <c r="J29" s="1169"/>
      <c r="K29" s="1169"/>
      <c r="L29" s="1169"/>
      <c r="M29" s="1169"/>
      <c r="N29" s="1170"/>
      <c r="O29" s="428"/>
      <c r="P29" s="94"/>
    </row>
    <row r="30" spans="2:16" ht="13.2" customHeight="1" x14ac:dyDescent="0.25">
      <c r="B30" s="94"/>
      <c r="C30" s="144"/>
      <c r="D30" s="144"/>
      <c r="E30" s="986"/>
      <c r="F30" s="825"/>
      <c r="G30" s="1168" t="str">
        <f>Translations!$B$1910</f>
        <v>Sheet Summary_Products: Consistent units for carbon price due</v>
      </c>
      <c r="H30" s="1169"/>
      <c r="I30" s="1169"/>
      <c r="J30" s="1169"/>
      <c r="K30" s="1169"/>
      <c r="L30" s="1169"/>
      <c r="M30" s="1169"/>
      <c r="N30" s="1170"/>
      <c r="O30" s="428"/>
      <c r="P30" s="94"/>
    </row>
    <row r="31" spans="2:16" ht="13.2" customHeight="1" x14ac:dyDescent="0.25">
      <c r="B31" s="94"/>
      <c r="C31" s="144"/>
      <c r="D31" s="144"/>
      <c r="E31" s="986"/>
      <c r="F31" s="825"/>
      <c r="G31" s="1168" t="str">
        <f>Translations!$B$1911</f>
        <v>Sheet Summary_Products: Qualifying parameters (columns R to AA) made optional</v>
      </c>
      <c r="H31" s="1169"/>
      <c r="I31" s="1169"/>
      <c r="J31" s="1169"/>
      <c r="K31" s="1169"/>
      <c r="L31" s="1169"/>
      <c r="M31" s="1169"/>
      <c r="N31" s="1170"/>
      <c r="O31" s="428"/>
      <c r="P31" s="94"/>
    </row>
    <row r="32" spans="2:16" ht="13.2" customHeight="1" x14ac:dyDescent="0.25">
      <c r="B32" s="94"/>
      <c r="C32" s="144"/>
      <c r="D32" s="144"/>
      <c r="E32" s="986"/>
      <c r="F32" s="825"/>
      <c r="G32" s="1168" t="str">
        <f>Translations!$B$1912</f>
        <v>General: Consistent units for the good "Electricity" expressed as MWh</v>
      </c>
      <c r="H32" s="1169"/>
      <c r="I32" s="1169"/>
      <c r="J32" s="1169"/>
      <c r="K32" s="1169"/>
      <c r="L32" s="1169"/>
      <c r="M32" s="1169"/>
      <c r="N32" s="1170"/>
      <c r="O32" s="428"/>
      <c r="P32" s="94"/>
    </row>
    <row r="33" spans="2:16" ht="13.2" customHeight="1" x14ac:dyDescent="0.25">
      <c r="B33" s="94"/>
      <c r="C33" s="144"/>
      <c r="D33" s="144"/>
      <c r="E33" s="986"/>
      <c r="F33" s="825"/>
      <c r="G33" s="1168" t="str">
        <f>Translations!$B$1913</f>
        <v>General: Further clarification in guidance texts at several locations</v>
      </c>
      <c r="H33" s="1169"/>
      <c r="I33" s="1169"/>
      <c r="J33" s="1169"/>
      <c r="K33" s="1169"/>
      <c r="L33" s="1169"/>
      <c r="M33" s="1169"/>
      <c r="N33" s="1170"/>
      <c r="O33" s="428"/>
      <c r="P33" s="94"/>
    </row>
    <row r="34" spans="2:16" ht="13.2" customHeight="1" x14ac:dyDescent="0.25">
      <c r="B34" s="94"/>
      <c r="C34" s="144"/>
      <c r="D34" s="144"/>
      <c r="E34" s="986"/>
      <c r="F34" s="825"/>
      <c r="G34" s="1168" t="str">
        <f>Translations!$B$1914</f>
        <v>General: Uniform formatting, conditional formats improved</v>
      </c>
      <c r="H34" s="1169"/>
      <c r="I34" s="1169"/>
      <c r="J34" s="1169"/>
      <c r="K34" s="1169"/>
      <c r="L34" s="1169"/>
      <c r="M34" s="1169"/>
      <c r="N34" s="1170"/>
      <c r="O34" s="428"/>
      <c r="P34" s="94"/>
    </row>
    <row r="35" spans="2:16" ht="56.25" customHeight="1" x14ac:dyDescent="0.25">
      <c r="B35" s="94"/>
      <c r="C35" s="144"/>
      <c r="D35" s="144"/>
      <c r="E35" s="749" t="s">
        <v>4212</v>
      </c>
      <c r="F35" s="745">
        <v>45390</v>
      </c>
      <c r="G35" s="1156" t="str">
        <f>Translations!$B$2104</f>
        <v>Minor errors corrected:
Sheet a_contents: Broken hyperlinks fixed
Sheet A: Double reference to PP17 (section 5) corrected
Sheet E: Wrong guidance text under item v. corrected</v>
      </c>
      <c r="H35" s="1157"/>
      <c r="I35" s="1157"/>
      <c r="J35" s="1157"/>
      <c r="K35" s="1157"/>
      <c r="L35" s="1157"/>
      <c r="M35" s="1157"/>
      <c r="N35" s="1158"/>
      <c r="O35" s="428"/>
      <c r="P35" s="94"/>
    </row>
    <row r="36" spans="2:16" ht="13.2" customHeight="1" x14ac:dyDescent="0.25">
      <c r="B36" s="94"/>
      <c r="C36" s="144"/>
      <c r="D36" s="144"/>
      <c r="E36" s="827" t="s">
        <v>4250</v>
      </c>
      <c r="F36" s="824">
        <v>45448</v>
      </c>
      <c r="G36" s="1159" t="str">
        <f>Translations!$B$2116</f>
        <v>Minor revision of the CN code list, field for further information on carbon price instruments added</v>
      </c>
      <c r="H36" s="1160"/>
      <c r="I36" s="1160"/>
      <c r="J36" s="1160"/>
      <c r="K36" s="1160"/>
      <c r="L36" s="1160"/>
      <c r="M36" s="1160"/>
      <c r="N36" s="1161"/>
      <c r="O36" s="428"/>
      <c r="P36" s="94"/>
    </row>
    <row r="37" spans="2:16" ht="13.2" customHeight="1" x14ac:dyDescent="0.25">
      <c r="B37" s="94"/>
      <c r="C37" s="144"/>
      <c r="D37" s="144"/>
      <c r="E37" s="987"/>
      <c r="F37" s="826"/>
      <c r="G37" s="1162" t="str">
        <f>Translations!$B$2118</f>
        <v>Conditional format bug in sheet Summary_Products corrected</v>
      </c>
      <c r="H37" s="1163"/>
      <c r="I37" s="1163"/>
      <c r="J37" s="1163"/>
      <c r="K37" s="1163"/>
      <c r="L37" s="1163"/>
      <c r="M37" s="1163"/>
      <c r="N37" s="1164"/>
      <c r="O37" s="428"/>
      <c r="P37" s="94"/>
    </row>
    <row r="38" spans="2:16" ht="13.2" customHeight="1" x14ac:dyDescent="0.25">
      <c r="B38" s="94"/>
      <c r="C38" s="144"/>
      <c r="D38" s="144"/>
      <c r="E38" s="749"/>
      <c r="F38" s="745"/>
      <c r="G38" s="1156"/>
      <c r="H38" s="1157"/>
      <c r="I38" s="1157"/>
      <c r="J38" s="1157"/>
      <c r="K38" s="1157"/>
      <c r="L38" s="1157"/>
      <c r="M38" s="1157"/>
      <c r="N38" s="1158"/>
      <c r="O38" s="428"/>
      <c r="P38" s="94"/>
    </row>
    <row r="39" spans="2:16" ht="13.2" customHeight="1" x14ac:dyDescent="0.25">
      <c r="B39" s="94"/>
      <c r="C39" s="144"/>
      <c r="D39" s="144"/>
      <c r="E39" s="749"/>
      <c r="F39" s="745"/>
      <c r="G39" s="1156"/>
      <c r="H39" s="1157"/>
      <c r="I39" s="1157"/>
      <c r="J39" s="1157"/>
      <c r="K39" s="1157"/>
      <c r="L39" s="1157"/>
      <c r="M39" s="1157"/>
      <c r="N39" s="1158"/>
      <c r="O39" s="428"/>
      <c r="P39" s="94"/>
    </row>
    <row r="40" spans="2:16" ht="13.2" customHeight="1" x14ac:dyDescent="0.25">
      <c r="B40" s="94"/>
      <c r="C40" s="144"/>
      <c r="D40" s="144"/>
      <c r="E40" s="749"/>
      <c r="F40" s="745"/>
      <c r="G40" s="1156"/>
      <c r="H40" s="1157"/>
      <c r="I40" s="1157"/>
      <c r="J40" s="1157"/>
      <c r="K40" s="1157"/>
      <c r="L40" s="1157"/>
      <c r="M40" s="1157"/>
      <c r="N40" s="1158"/>
      <c r="O40" s="428"/>
      <c r="P40" s="94"/>
    </row>
    <row r="41" spans="2:16" ht="13.2" customHeight="1" x14ac:dyDescent="0.25">
      <c r="B41" s="94"/>
      <c r="C41" s="144"/>
      <c r="D41" s="144"/>
      <c r="E41" s="749"/>
      <c r="F41" s="745"/>
      <c r="G41" s="1156"/>
      <c r="H41" s="1157"/>
      <c r="I41" s="1157"/>
      <c r="J41" s="1157"/>
      <c r="K41" s="1157"/>
      <c r="L41" s="1157"/>
      <c r="M41" s="1157"/>
      <c r="N41" s="1158"/>
      <c r="O41" s="428"/>
      <c r="P41" s="94"/>
    </row>
    <row r="42" spans="2:16" ht="13.2" customHeight="1" x14ac:dyDescent="0.25">
      <c r="B42" s="94"/>
      <c r="C42" s="144"/>
      <c r="D42" s="144"/>
      <c r="E42" s="749"/>
      <c r="F42" s="745"/>
      <c r="G42" s="1156"/>
      <c r="H42" s="1157"/>
      <c r="I42" s="1157"/>
      <c r="J42" s="1157"/>
      <c r="K42" s="1157"/>
      <c r="L42" s="1157"/>
      <c r="M42" s="1157"/>
      <c r="N42" s="1158"/>
      <c r="O42" s="428"/>
      <c r="P42" s="94"/>
    </row>
    <row r="43" spans="2:16" ht="13.2" customHeight="1" x14ac:dyDescent="0.25">
      <c r="B43" s="94"/>
      <c r="C43" s="144"/>
      <c r="D43" s="144"/>
      <c r="E43" s="749"/>
      <c r="F43" s="745"/>
      <c r="G43" s="1156"/>
      <c r="H43" s="1157"/>
      <c r="I43" s="1157"/>
      <c r="J43" s="1157"/>
      <c r="K43" s="1157"/>
      <c r="L43" s="1157"/>
      <c r="M43" s="1157"/>
      <c r="N43" s="1158"/>
      <c r="O43" s="428"/>
      <c r="P43" s="94"/>
    </row>
    <row r="44" spans="2:16" ht="13.2" customHeight="1" x14ac:dyDescent="0.25">
      <c r="B44" s="94"/>
      <c r="C44" s="144"/>
      <c r="D44" s="144"/>
      <c r="E44" s="749"/>
      <c r="F44" s="745"/>
      <c r="G44" s="1156"/>
      <c r="H44" s="1157"/>
      <c r="I44" s="1157"/>
      <c r="J44" s="1157"/>
      <c r="K44" s="1157"/>
      <c r="L44" s="1157"/>
      <c r="M44" s="1157"/>
      <c r="N44" s="1158"/>
      <c r="O44" s="428"/>
      <c r="P44" s="94"/>
    </row>
    <row r="45" spans="2:16" ht="13.2" customHeight="1" x14ac:dyDescent="0.25">
      <c r="B45" s="94"/>
      <c r="C45" s="144"/>
      <c r="D45" s="144"/>
      <c r="E45" s="749"/>
      <c r="F45" s="745"/>
      <c r="G45" s="1156"/>
      <c r="H45" s="1157"/>
      <c r="I45" s="1157"/>
      <c r="J45" s="1157"/>
      <c r="K45" s="1157"/>
      <c r="L45" s="1157"/>
      <c r="M45" s="1157"/>
      <c r="N45" s="1158"/>
      <c r="O45" s="428"/>
      <c r="P45" s="94"/>
    </row>
    <row r="46" spans="2:16" ht="13.2" customHeight="1" x14ac:dyDescent="0.25">
      <c r="B46" s="94"/>
      <c r="C46" s="144"/>
      <c r="D46" s="144"/>
      <c r="E46" s="749"/>
      <c r="F46" s="745"/>
      <c r="G46" s="1156"/>
      <c r="H46" s="1157"/>
      <c r="I46" s="1157"/>
      <c r="J46" s="1157"/>
      <c r="K46" s="1157"/>
      <c r="L46" s="1157"/>
      <c r="M46" s="1157"/>
      <c r="N46" s="1158"/>
      <c r="O46" s="428"/>
      <c r="P46" s="94"/>
    </row>
    <row r="47" spans="2:16" ht="12.75" customHeight="1" x14ac:dyDescent="0.25">
      <c r="B47" s="94"/>
      <c r="C47" s="144"/>
      <c r="D47" s="144"/>
      <c r="E47" s="749"/>
      <c r="F47" s="745"/>
      <c r="G47" s="1165"/>
      <c r="H47" s="1166"/>
      <c r="I47" s="1166"/>
      <c r="J47" s="1166"/>
      <c r="K47" s="1166"/>
      <c r="L47" s="1166"/>
      <c r="M47" s="1166"/>
      <c r="N47" s="1166"/>
      <c r="O47" s="428"/>
      <c r="P47" s="94"/>
    </row>
    <row r="48" spans="2:16" ht="12.75" customHeight="1" x14ac:dyDescent="0.25">
      <c r="B48" s="94"/>
      <c r="C48" s="144"/>
      <c r="D48" s="144"/>
      <c r="E48" s="749"/>
      <c r="F48" s="745"/>
      <c r="G48" s="1165"/>
      <c r="H48" s="1166"/>
      <c r="I48" s="1166"/>
      <c r="J48" s="1166"/>
      <c r="K48" s="1166"/>
      <c r="L48" s="1166"/>
      <c r="M48" s="1166"/>
      <c r="N48" s="1166"/>
      <c r="O48" s="428"/>
      <c r="P48" s="94"/>
    </row>
    <row r="49" spans="1:16" ht="12.75" customHeight="1" x14ac:dyDescent="0.25">
      <c r="B49" s="94"/>
      <c r="C49" s="144"/>
      <c r="D49" s="144"/>
      <c r="E49" s="749"/>
      <c r="F49" s="745"/>
      <c r="G49" s="1165"/>
      <c r="H49" s="1166"/>
      <c r="I49" s="1166"/>
      <c r="J49" s="1166"/>
      <c r="K49" s="1166"/>
      <c r="L49" s="1166"/>
      <c r="M49" s="1166"/>
      <c r="N49" s="1166"/>
      <c r="O49" s="428"/>
      <c r="P49" s="94"/>
    </row>
    <row r="50" spans="1:16" ht="12.75" customHeight="1" x14ac:dyDescent="0.25">
      <c r="B50" s="94"/>
      <c r="C50" s="144"/>
      <c r="D50" s="144"/>
      <c r="E50" s="749"/>
      <c r="F50" s="745"/>
      <c r="G50" s="1165"/>
      <c r="H50" s="1166"/>
      <c r="I50" s="1166"/>
      <c r="J50" s="1166"/>
      <c r="K50" s="1166"/>
      <c r="L50" s="1166"/>
      <c r="M50" s="1166"/>
      <c r="N50" s="1166"/>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75" t="str">
        <f>Translations!$B$288</f>
        <v>Tools</v>
      </c>
      <c r="C2" s="1176"/>
      <c r="D2" s="1177"/>
      <c r="E2" s="1184" t="str">
        <f>Translations!$B$11</f>
        <v>Navigation Area:</v>
      </c>
      <c r="F2" s="1185"/>
      <c r="G2" s="1186" t="str">
        <f ca="1">HYPERLINK("#"&amp;ADDRESS(2,3,,,a_Contents!$U$2),a_Contents!$B$2)</f>
        <v>Table of contents</v>
      </c>
      <c r="H2" s="1187"/>
      <c r="I2" s="1186" t="str">
        <f ca="1">HYPERLINK("#"&amp;ADDRESS(2,3,,,G_FurtherGuidance!$U$2),G_FurtherGuidance!$B$2)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78"/>
      <c r="C3" s="1179"/>
      <c r="D3" s="1180"/>
      <c r="E3" s="1171"/>
      <c r="F3" s="1171"/>
      <c r="G3" s="1171" t="str">
        <f>IFERROR(HYPERLINK("#"&amp;ADDRESS(ROW($A$1)+MATCH(R3,$A:$A,0)-1,3),INDEX($R:$R,MATCH(R3,$A:$A,0))),"")</f>
        <v>Cogeneration Tool</v>
      </c>
      <c r="H3" s="1171"/>
      <c r="I3" s="1171" t="str">
        <f>IFERROR(HYPERLINK("#"&amp;ADDRESS(ROW($A$1)+MATCH(T3,$A:$A,0)-1,3),INDEX($R:$R,MATCH(T3,$A:$A,0))),"")</f>
        <v>Tool for carbon price due</v>
      </c>
      <c r="J3" s="1171"/>
      <c r="K3" s="1171" t="str">
        <f>IFERROR(HYPERLINK("#"&amp;ADDRESS(ROW($A$1)+MATCH(V3,$A:$A,0)-1,3),INDEX($R:$R,MATCH(V3,$A:$A,0))),"")</f>
        <v/>
      </c>
      <c r="L3" s="1171"/>
      <c r="M3" s="1171" t="str">
        <f>IFERROR(HYPERLINK("#"&amp;ADDRESS(ROW($A$1)+MATCH(X3,$A:$A,0)-1,3),INDEX($R:$R,MATCH(X3,$A:$A,0))),"")</f>
        <v/>
      </c>
      <c r="N3" s="1171"/>
      <c r="O3" s="428"/>
      <c r="R3" s="302">
        <v>1</v>
      </c>
      <c r="S3" s="303"/>
      <c r="T3" s="303">
        <v>2</v>
      </c>
      <c r="U3" s="303"/>
      <c r="V3" s="303">
        <v>3</v>
      </c>
      <c r="W3" s="303"/>
      <c r="X3" s="304">
        <v>4</v>
      </c>
    </row>
    <row r="4" spans="1:24" ht="14.1" customHeight="1" thickBot="1" x14ac:dyDescent="0.35">
      <c r="B4" s="1181"/>
      <c r="C4" s="1182"/>
      <c r="D4" s="1183"/>
      <c r="E4" s="1171"/>
      <c r="F4" s="1171"/>
      <c r="G4" s="1171" t="str">
        <f>IFERROR(HYPERLINK("#"&amp;ADDRESS(ROW($A$1)+MATCH(R4,$A:$A,0)-1,3),INDEX($R:$R,MATCH(R4,$A:$A,0))),"")</f>
        <v/>
      </c>
      <c r="H4" s="1171"/>
      <c r="I4" s="1171" t="str">
        <f>IFERROR(HYPERLINK("#"&amp;ADDRESS(ROW($A$1)+MATCH(T4,$A:$A,0)-1,3),INDEX($R:$R,MATCH(T4,$A:$A,0))),"")</f>
        <v/>
      </c>
      <c r="J4" s="1171"/>
      <c r="K4" s="1171" t="str">
        <f>IFERROR(HYPERLINK("#"&amp;ADDRESS(ROW($A$1)+MATCH(V4,$A:$A,0)-1,3),INDEX($R:$R,MATCH(V4,$A:$A,0))),"")</f>
        <v/>
      </c>
      <c r="L4" s="1171"/>
      <c r="M4" s="1171" t="str">
        <f>IFERROR(HYPERLINK("#"&amp;ADDRESS(ROW($A$1)+MATCH(X4,$A:$A,0)-1,3),INDEX($R:$R,MATCH(X4,$A:$A,0))),"")</f>
        <v/>
      </c>
      <c r="N4" s="1171"/>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66" t="str">
        <f>Translations!$B$291</f>
        <v>This is a tool for attributing fuels and emissions of CHPs to heat and electricity output.</v>
      </c>
      <c r="F10" s="1366"/>
      <c r="G10" s="1366"/>
      <c r="H10" s="1366"/>
      <c r="I10" s="1366"/>
      <c r="J10" s="1366"/>
      <c r="K10" s="1366"/>
      <c r="L10" s="1366"/>
      <c r="M10" s="1366"/>
      <c r="N10" s="1366"/>
      <c r="O10" s="428"/>
    </row>
    <row r="11" spans="1:24" ht="25.95" customHeight="1" x14ac:dyDescent="0.25">
      <c r="B11" s="94"/>
      <c r="C11" s="948"/>
      <c r="D11" s="951"/>
      <c r="E11" s="1366"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66"/>
      <c r="G11" s="1366"/>
      <c r="H11" s="1366"/>
      <c r="I11" s="1366"/>
      <c r="J11" s="1366"/>
      <c r="K11" s="1366"/>
      <c r="L11" s="1366"/>
      <c r="M11" s="1366"/>
      <c r="N11" s="1366"/>
      <c r="O11" s="428"/>
    </row>
    <row r="12" spans="1:24" ht="25.5" customHeight="1" x14ac:dyDescent="0.25">
      <c r="B12" s="94"/>
      <c r="C12" s="948"/>
      <c r="D12" s="951"/>
      <c r="E12" s="1366"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66"/>
      <c r="G12" s="1366"/>
      <c r="H12" s="1366"/>
      <c r="I12" s="1366"/>
      <c r="J12" s="1366"/>
      <c r="K12" s="1366"/>
      <c r="L12" s="1366"/>
      <c r="M12" s="1366"/>
      <c r="N12" s="1366"/>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31" t="str">
        <f>Translations!$B$295</f>
        <v>Total amount of fuel input into CHP units</v>
      </c>
      <c r="F16" s="1231"/>
      <c r="G16" s="1231"/>
      <c r="H16" s="1231"/>
      <c r="I16" s="1231"/>
      <c r="J16" s="1231"/>
      <c r="K16" s="1231"/>
      <c r="L16" s="1231"/>
      <c r="M16" s="1231"/>
      <c r="N16" s="1231"/>
      <c r="O16" s="428"/>
    </row>
    <row r="17" spans="1:24" ht="25.95" customHeight="1" x14ac:dyDescent="0.25">
      <c r="B17" s="94"/>
      <c r="C17" s="948"/>
      <c r="D17" s="948"/>
      <c r="E17" s="1369" t="str">
        <f>Translations!$B$296</f>
        <v>Please enter here the annual fuel input into the CHP unit, the net amount of heat produced and the net amount of electricity (or mechanical energy, where applicable) produced by the CHP.</v>
      </c>
      <c r="F17" s="1344"/>
      <c r="G17" s="1344"/>
      <c r="H17" s="1344"/>
      <c r="I17" s="1344"/>
      <c r="J17" s="1344"/>
      <c r="K17" s="1344"/>
      <c r="L17" s="1344"/>
      <c r="M17" s="1344"/>
      <c r="N17" s="1344"/>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31" t="str">
        <f>Translations!$B$302</f>
        <v>Total emissions from CHP</v>
      </c>
      <c r="F23" s="1231"/>
      <c r="G23" s="1231"/>
      <c r="H23" s="1231"/>
      <c r="I23" s="1231"/>
      <c r="J23" s="1231"/>
      <c r="K23" s="1231"/>
      <c r="L23" s="1231"/>
      <c r="M23" s="1231"/>
      <c r="N23" s="1231"/>
      <c r="O23" s="428"/>
    </row>
    <row r="24" spans="1:24" ht="12.75" customHeight="1" x14ac:dyDescent="0.25">
      <c r="B24" s="94"/>
      <c r="C24" s="948"/>
      <c r="D24" s="955"/>
      <c r="E24" s="1234" t="str">
        <f>Translations!$B$303</f>
        <v>Values should distinguish between emissions from fuel input and from flue gas cleaning.</v>
      </c>
      <c r="F24" s="1344"/>
      <c r="G24" s="1344"/>
      <c r="H24" s="1344"/>
      <c r="I24" s="1344"/>
      <c r="J24" s="1344"/>
      <c r="K24" s="1344"/>
      <c r="L24" s="1344"/>
      <c r="M24" s="1344"/>
      <c r="N24" s="1344"/>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68" t="str">
        <f>Translations!$B$308</f>
        <v>Default efficiencies:</v>
      </c>
      <c r="F28" s="1368"/>
      <c r="G28" s="1368"/>
      <c r="H28" s="1368"/>
      <c r="I28" s="1368"/>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31" t="str">
        <f>Translations!$B$311</f>
        <v>Efficiencies for heat and electricity</v>
      </c>
      <c r="F30" s="1365"/>
      <c r="G30" s="1365"/>
      <c r="H30" s="1365"/>
      <c r="I30" s="1365"/>
      <c r="J30" s="1365"/>
      <c r="K30" s="1365"/>
      <c r="L30" s="1365"/>
      <c r="M30" s="1365"/>
      <c r="N30" s="1365"/>
      <c r="O30" s="428"/>
    </row>
    <row r="31" spans="1:24" ht="12.75" customHeight="1" x14ac:dyDescent="0.25">
      <c r="B31" s="94"/>
      <c r="C31" s="948"/>
      <c r="D31" s="955"/>
      <c r="E31" s="1234" t="str">
        <f>Translations!$B$312</f>
        <v>These values are dimensionless and automatically calculated from inputs in (a) to (c) above.</v>
      </c>
      <c r="F31" s="1344"/>
      <c r="G31" s="1344"/>
      <c r="H31" s="1344"/>
      <c r="I31" s="1344"/>
      <c r="J31" s="1344"/>
      <c r="K31" s="1344"/>
      <c r="L31" s="1344"/>
      <c r="M31" s="1344"/>
      <c r="N31" s="1344"/>
      <c r="O31" s="428"/>
    </row>
    <row r="32" spans="1:24" ht="38.700000000000003" customHeight="1" x14ac:dyDescent="0.25">
      <c r="B32" s="94"/>
      <c r="C32" s="948"/>
      <c r="D32" s="955"/>
      <c r="E32" s="1234"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4"/>
      <c r="G32" s="1344"/>
      <c r="H32" s="1344"/>
      <c r="I32" s="1344"/>
      <c r="J32" s="1344"/>
      <c r="K32" s="1344"/>
      <c r="L32" s="1344"/>
      <c r="M32" s="1344"/>
      <c r="N32" s="1344"/>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31" t="str">
        <f>Translations!$B$318</f>
        <v>Reference efficiencies</v>
      </c>
      <c r="F36" s="1365"/>
      <c r="G36" s="1365"/>
      <c r="H36" s="1365"/>
      <c r="I36" s="1365"/>
      <c r="J36" s="1365"/>
      <c r="K36" s="1365"/>
      <c r="L36" s="1365"/>
      <c r="M36" s="1365"/>
      <c r="N36" s="1365"/>
      <c r="O36" s="428"/>
    </row>
    <row r="37" spans="2:15" ht="12.75" customHeight="1" x14ac:dyDescent="0.25">
      <c r="B37" s="94"/>
      <c r="C37" s="948"/>
      <c r="D37" s="955"/>
      <c r="E37" s="1234" t="str">
        <f>Translations!$B$319</f>
        <v xml:space="preserve">These are the reference efficiency for heat production in a stand-alone boiler, and the reference efficiency of electricity production without cogeneration. </v>
      </c>
      <c r="F37" s="1344"/>
      <c r="G37" s="1344"/>
      <c r="H37" s="1344"/>
      <c r="I37" s="1344"/>
      <c r="J37" s="1344"/>
      <c r="K37" s="1344"/>
      <c r="L37" s="1344"/>
      <c r="M37" s="1344"/>
      <c r="N37" s="1344"/>
      <c r="O37" s="428"/>
    </row>
    <row r="38" spans="2:15" ht="13.2" customHeight="1" x14ac:dyDescent="0.25">
      <c r="B38" s="94"/>
      <c r="C38" s="948"/>
      <c r="D38" s="955"/>
      <c r="E38" s="1234" t="str">
        <f>Translations!$B$1974</f>
        <v>For the reference efficiencies the appropriate fuel-specific values from Annex IX of the Implementing Act should be used.</v>
      </c>
      <c r="F38" s="1344"/>
      <c r="G38" s="1344"/>
      <c r="H38" s="1344"/>
      <c r="I38" s="1344"/>
      <c r="J38" s="1344"/>
      <c r="K38" s="1344"/>
      <c r="L38" s="1344"/>
      <c r="M38" s="1344"/>
      <c r="N38" s="1344"/>
      <c r="O38" s="428"/>
    </row>
    <row r="39" spans="2:15" ht="12.75" customHeight="1" x14ac:dyDescent="0.25">
      <c r="B39" s="94"/>
      <c r="C39" s="948"/>
      <c r="D39" s="955"/>
      <c r="E39" s="1234" t="str">
        <f>Translations!$B$1975</f>
        <v>Below the default efficiencies for hard coal CHPs producing electricity and hot water are entered as an example.</v>
      </c>
      <c r="F39" s="1344"/>
      <c r="G39" s="1344"/>
      <c r="H39" s="1344"/>
      <c r="I39" s="1344"/>
      <c r="J39" s="1344"/>
      <c r="K39" s="1344"/>
      <c r="L39" s="1344"/>
      <c r="M39" s="1344"/>
      <c r="N39" s="1344"/>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31" t="str">
        <f>Translations!$B$1976</f>
        <v>Emissions attributable to heat and electricity production from CHP</v>
      </c>
      <c r="F43" s="1365"/>
      <c r="G43" s="1365"/>
      <c r="H43" s="1365"/>
      <c r="I43" s="1365"/>
      <c r="J43" s="1365"/>
      <c r="K43" s="1365"/>
      <c r="L43" s="1365"/>
      <c r="M43" s="1365"/>
      <c r="N43" s="1365"/>
      <c r="O43" s="428"/>
    </row>
    <row r="44" spans="2:15" ht="25.95" customHeight="1" x14ac:dyDescent="0.25">
      <c r="B44" s="94"/>
      <c r="C44" s="948"/>
      <c r="D44" s="955"/>
      <c r="E44" s="1234" t="str">
        <f>Translations!$B$323</f>
        <v>This is the final result of this tool. The values displayed here should be entered in sheets D or E for the attributable emissions for the appropriate production process or precursor.</v>
      </c>
      <c r="F44" s="1344"/>
      <c r="G44" s="1344"/>
      <c r="H44" s="1344"/>
      <c r="I44" s="1344"/>
      <c r="J44" s="1344"/>
      <c r="K44" s="1344"/>
      <c r="L44" s="1344"/>
      <c r="M44" s="1344"/>
      <c r="N44" s="1344"/>
      <c r="O44" s="428"/>
    </row>
    <row r="45" spans="2:15" ht="13.2" customHeight="1" x14ac:dyDescent="0.25">
      <c r="B45" s="94"/>
      <c r="C45" s="948"/>
      <c r="D45" s="955"/>
      <c r="E45" s="1234" t="str">
        <f>Translations!$B$324</f>
        <v>For example, this may include attributable emissions to be taken into account for the total direct emissions, or use of the emission factor for any measurable heat imported.</v>
      </c>
      <c r="F45" s="1344"/>
      <c r="G45" s="1344"/>
      <c r="H45" s="1344"/>
      <c r="I45" s="1344"/>
      <c r="J45" s="1344"/>
      <c r="K45" s="1344"/>
      <c r="L45" s="1344"/>
      <c r="M45" s="1344"/>
      <c r="N45" s="1344"/>
      <c r="O45" s="428"/>
    </row>
    <row r="46" spans="2:15" ht="12.75" customHeight="1" x14ac:dyDescent="0.25">
      <c r="B46" s="94"/>
      <c r="C46" s="948"/>
      <c r="D46" s="955"/>
      <c r="E46" s="1234" t="str">
        <f>Translations!$B$1977</f>
        <v>Calculation results can only be considered correct if complete and consistent data have been reported in sections above.</v>
      </c>
      <c r="F46" s="1344"/>
      <c r="G46" s="1344"/>
      <c r="H46" s="1344"/>
      <c r="I46" s="1344"/>
      <c r="J46" s="1344"/>
      <c r="K46" s="1344"/>
      <c r="L46" s="1344"/>
      <c r="M46" s="1344"/>
      <c r="N46" s="1344"/>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31" t="str">
        <f>Translations!$B$331</f>
        <v>Fuel input attributable to heat and electricity production</v>
      </c>
      <c r="F51" s="1365"/>
      <c r="G51" s="1365"/>
      <c r="H51" s="1365"/>
      <c r="I51" s="1365"/>
      <c r="J51" s="1365"/>
      <c r="K51" s="1365"/>
      <c r="L51" s="1365"/>
      <c r="M51" s="1365"/>
      <c r="N51" s="1365"/>
      <c r="O51" s="428"/>
    </row>
    <row r="52" spans="1:24" ht="12.75" customHeight="1" x14ac:dyDescent="0.25">
      <c r="B52" s="94"/>
      <c r="C52" s="948"/>
      <c r="D52" s="955"/>
      <c r="E52" s="1234" t="str">
        <f>Translations!$B$332</f>
        <v>This is the final result of this tool. The values displayed here should be used in section C.1.</v>
      </c>
      <c r="F52" s="1344"/>
      <c r="G52" s="1344"/>
      <c r="H52" s="1344"/>
      <c r="I52" s="1344"/>
      <c r="J52" s="1344"/>
      <c r="K52" s="1344"/>
      <c r="L52" s="1344"/>
      <c r="M52" s="1344"/>
      <c r="N52" s="1344"/>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68" t="str">
        <f>Translations!$B$308</f>
        <v>Default efficiencies:</v>
      </c>
      <c r="F66" s="1368"/>
      <c r="G66" s="1368"/>
      <c r="H66" s="1368"/>
      <c r="I66" s="1368"/>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47"/>
      <c r="F83" s="1348"/>
      <c r="G83" s="1348"/>
      <c r="H83" s="1348"/>
      <c r="I83" s="1348"/>
      <c r="J83" s="1348"/>
      <c r="K83" s="1348"/>
      <c r="L83" s="1348"/>
      <c r="M83" s="1348"/>
      <c r="N83" s="1348"/>
      <c r="O83" s="428"/>
    </row>
    <row r="84" spans="1:19" ht="25.5" customHeight="1" x14ac:dyDescent="0.25">
      <c r="B84" s="94"/>
      <c r="C84" s="948"/>
      <c r="D84" s="950"/>
      <c r="E84" s="1366"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66"/>
      <c r="G84" s="1366"/>
      <c r="H84" s="1366"/>
      <c r="I84" s="1366"/>
      <c r="J84" s="1366"/>
      <c r="K84" s="1366"/>
      <c r="L84" s="1366"/>
      <c r="M84" s="1366"/>
      <c r="N84" s="1366"/>
      <c r="O84" s="428"/>
    </row>
    <row r="85" spans="1:19" ht="25.95" customHeight="1" x14ac:dyDescent="0.25">
      <c r="B85" s="94"/>
      <c r="C85" s="948"/>
      <c r="D85" s="950"/>
      <c r="E85" s="1367" t="str">
        <f>Translations!$B$1978</f>
        <v>The results obtained here in columns L and M have to be manually entered into the respective fields in sheet "Summary_Products", columns AR and AX, respectively.</v>
      </c>
      <c r="F85" s="1367"/>
      <c r="G85" s="1367"/>
      <c r="H85" s="1367"/>
      <c r="I85" s="1367"/>
      <c r="J85" s="1367"/>
      <c r="K85" s="1367"/>
      <c r="L85" s="1367"/>
      <c r="M85" s="1367"/>
      <c r="N85" s="1367"/>
      <c r="O85" s="428"/>
    </row>
    <row r="86" spans="1:19" ht="12.75" customHeight="1" x14ac:dyDescent="0.25">
      <c r="B86" s="94"/>
      <c r="C86" s="948"/>
      <c r="D86" s="950"/>
      <c r="E86" s="1346" t="str">
        <f>Translations!$B$340</f>
        <v>The following conditions apply:</v>
      </c>
      <c r="F86" s="1169"/>
      <c r="G86" s="1169"/>
      <c r="H86" s="1169"/>
      <c r="I86" s="1169"/>
      <c r="J86" s="1169"/>
      <c r="K86" s="1169"/>
      <c r="L86" s="1169"/>
      <c r="M86" s="1169"/>
      <c r="N86" s="1169"/>
      <c r="O86" s="428"/>
    </row>
    <row r="87" spans="1:19" ht="12.75" customHeight="1" x14ac:dyDescent="0.25">
      <c r="B87" s="94"/>
      <c r="C87" s="948"/>
      <c r="D87" s="950"/>
      <c r="E87" s="960"/>
      <c r="F87" s="1345" t="str">
        <f>Translations!$B$341</f>
        <v>- the carbon price used for each production process has to be converted into one common currency.</v>
      </c>
      <c r="G87" s="1345"/>
      <c r="H87" s="1345"/>
      <c r="I87" s="1345"/>
      <c r="J87" s="1345"/>
      <c r="K87" s="1345"/>
      <c r="L87" s="1345"/>
      <c r="M87" s="1345"/>
      <c r="N87" s="1345"/>
      <c r="O87" s="428"/>
    </row>
    <row r="88" spans="1:19" ht="12.75" customHeight="1" x14ac:dyDescent="0.25">
      <c r="B88" s="94"/>
      <c r="C88" s="948"/>
      <c r="D88" s="950"/>
      <c r="E88" s="960"/>
      <c r="F88" s="1345" t="str">
        <f>Translations!$B$342</f>
        <v>- the system boundaries of carbon pricing have to be consistent with the boundaries of the production process and precursors.</v>
      </c>
      <c r="G88" s="1344"/>
      <c r="H88" s="1344"/>
      <c r="I88" s="1344"/>
      <c r="J88" s="1344"/>
      <c r="K88" s="1344"/>
      <c r="L88" s="1344"/>
      <c r="M88" s="1344"/>
      <c r="N88" s="1344"/>
      <c r="O88" s="428"/>
    </row>
    <row r="89" spans="1:19" ht="13.2" customHeight="1" x14ac:dyDescent="0.25">
      <c r="B89" s="94"/>
      <c r="C89" s="948"/>
      <c r="D89" s="950"/>
      <c r="E89" s="1366" t="str">
        <f>Translations!$B$343</f>
        <v>If the conditions above are not satisfied, this tool can only be used to support you with the calculation of the carbon price, but results cannot be used directly.</v>
      </c>
      <c r="F89" s="1366"/>
      <c r="G89" s="1366"/>
      <c r="H89" s="1366"/>
      <c r="I89" s="1366"/>
      <c r="J89" s="1366"/>
      <c r="K89" s="1366"/>
      <c r="L89" s="1366"/>
      <c r="M89" s="1366"/>
      <c r="N89" s="1366"/>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1" t="str">
        <f>Translations!$B$1862</f>
        <v>Specific direct + indirect emissions of the production process, i.e. excluding any embedded emissions from any precursors consumed in the process.</v>
      </c>
      <c r="G92" s="1351"/>
      <c r="H92" s="1351"/>
      <c r="I92" s="1351"/>
      <c r="J92" s="1351"/>
      <c r="K92" s="1351"/>
      <c r="L92" s="1351"/>
      <c r="M92" s="1352"/>
      <c r="N92" s="1352"/>
      <c r="O92" s="428"/>
      <c r="S92" s="110"/>
    </row>
    <row r="93" spans="1:19" ht="38.25" customHeight="1" x14ac:dyDescent="0.25">
      <c r="B93" s="94"/>
      <c r="C93" s="144"/>
      <c r="D93" s="144"/>
      <c r="E93" s="816" t="str">
        <f>Translations!$B$346</f>
        <v>Share of emissions covered by the carbon price</v>
      </c>
      <c r="F93" s="1353"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4"/>
      <c r="H93" s="1354"/>
      <c r="I93" s="1354"/>
      <c r="J93" s="1354"/>
      <c r="K93" s="1354"/>
      <c r="L93" s="1354"/>
      <c r="M93" s="1354"/>
      <c r="N93" s="1354"/>
      <c r="O93" s="428"/>
      <c r="S93" s="110"/>
    </row>
    <row r="94" spans="1:19" ht="38.25" customHeight="1" x14ac:dyDescent="0.25">
      <c r="B94" s="94"/>
      <c r="C94" s="144"/>
      <c r="D94" s="144"/>
      <c r="E94" s="816" t="str">
        <f>Translations!$B$350</f>
        <v>Carbon price (CP) due (local currency)</v>
      </c>
      <c r="F94" s="1353"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4"/>
      <c r="H94" s="1354"/>
      <c r="I94" s="1354"/>
      <c r="J94" s="1354"/>
      <c r="K94" s="1354"/>
      <c r="L94" s="1354"/>
      <c r="M94" s="1354"/>
      <c r="N94" s="1354"/>
      <c r="O94" s="428"/>
      <c r="S94" s="110"/>
    </row>
    <row r="95" spans="1:19" ht="25.5" customHeight="1" x14ac:dyDescent="0.25">
      <c r="B95" s="94"/>
      <c r="C95" s="144"/>
      <c r="D95" s="144"/>
      <c r="E95" s="817" t="str">
        <f>Translations!$B$348</f>
        <v>Amount of rebate (local currency)</v>
      </c>
      <c r="F95" s="1355" t="str">
        <f>Translations!$B$1981</f>
        <v>Please enter here the rebate per tonne of CO2e covered by the rebate in the relevant currency. Again, it shall exclude any rebate for any precursors outside the production process to avoid double counting.</v>
      </c>
      <c r="G95" s="1356"/>
      <c r="H95" s="1356"/>
      <c r="I95" s="1356"/>
      <c r="J95" s="1356"/>
      <c r="K95" s="1356"/>
      <c r="L95" s="1356"/>
      <c r="M95" s="1356"/>
      <c r="N95" s="1356"/>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63" t="str">
        <f>IF(J97="","",INDEX(CNTR_ListCurrenciesName,MATCH(J97,CNTR_ListCurrenciesCode,0)))</f>
        <v/>
      </c>
      <c r="L97" s="1364"/>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40" t="str">
        <f>Translations!$B$120</f>
        <v>Production process</v>
      </c>
      <c r="F99" s="1349" t="str">
        <f>Translations!$B$107</f>
        <v>Aggregated goods category</v>
      </c>
      <c r="G99" s="845" t="str">
        <f>Translations!$B$1861</f>
        <v>SE (total)</v>
      </c>
      <c r="H99" s="1357"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57" t="str">
        <f>Translations!$B$351</f>
        <v>CP due (per produced t or MWh)</v>
      </c>
      <c r="M99" s="1357" t="str">
        <f>Translations!$B$352</f>
        <v>Rebate (per produced t or MWh)</v>
      </c>
      <c r="N99" s="1360" t="str">
        <f>Translations!$B$353</f>
        <v>Result: Effective CP due (per produced t or MWh)</v>
      </c>
      <c r="O99" s="428"/>
      <c r="S99" s="110"/>
    </row>
    <row r="100" spans="2:23" ht="12.75" customHeight="1" thickBot="1" x14ac:dyDescent="0.3">
      <c r="B100" s="94"/>
      <c r="C100" s="144"/>
      <c r="D100" s="402"/>
      <c r="E100" s="1341"/>
      <c r="F100" s="1350"/>
      <c r="G100" s="403" t="str">
        <f>CONST_tCO2eq &amp; "/" &amp; IF(F101="",CONST_t,INDEX(CONST_LIST_GoodsUnit,MATCH(F101,CONST_LIST_Goods,0)))</f>
        <v>tCO2e/t</v>
      </c>
      <c r="H100" s="1362"/>
      <c r="I100" s="403" t="str">
        <f>G100</f>
        <v>tCO2e/t</v>
      </c>
      <c r="J100" s="403" t="str">
        <f>IF(J97="","",J97)&amp;"/" &amp; CONST_tCO2eq</f>
        <v>/tCO2e</v>
      </c>
      <c r="K100" s="403" t="str">
        <f>J100</f>
        <v>/tCO2e</v>
      </c>
      <c r="L100" s="1358"/>
      <c r="M100" s="1359"/>
      <c r="N100" s="1361"/>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Cement Bubble</v>
      </c>
      <c r="F101" s="520" t="str">
        <f t="shared" ref="F101:F110" si="0">IF(E101="","",INDEX(CNTR_List_ExistProdProc,MATCH(E101,CNTR_List_ExistProdProcNames,0)))</f>
        <v>Cement</v>
      </c>
      <c r="G101" s="245">
        <f>IF($E101="","",SUM(InputOutput!AJ71,InputOutput!AL71))</f>
        <v>0.90745749103585649</v>
      </c>
      <c r="H101" s="511"/>
      <c r="I101" s="245">
        <f>IF(G101="","",G101*H101)</f>
        <v>0</v>
      </c>
      <c r="J101" s="494"/>
      <c r="K101" s="495"/>
      <c r="L101" s="496">
        <f>IF($F101="","",IFERROR(V101,0))</f>
        <v>0</v>
      </c>
      <c r="M101" s="497">
        <f>IF($F101="","",IFERROR(W101,0))</f>
        <v>0</v>
      </c>
      <c r="N101" s="498">
        <f>IF($F101="","",L101-M101)</f>
        <v>0</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75" t="str">
        <f>Translations!$B$354</f>
        <v>Further Guidance</v>
      </c>
      <c r="C2" s="1176"/>
      <c r="D2" s="1177"/>
      <c r="E2" s="1184" t="str">
        <f>Translations!$B$11</f>
        <v>Navigation Area:</v>
      </c>
      <c r="F2" s="1185"/>
      <c r="G2" s="1186" t="str">
        <f ca="1">HYPERLINK("#"&amp;ADDRESS(2,3,,,a_Contents!$U$2),a_Contents!$B$2)</f>
        <v>Table of contents</v>
      </c>
      <c r="H2" s="1187"/>
      <c r="I2" s="1186"/>
      <c r="J2" s="1187"/>
      <c r="K2" s="1186" t="str">
        <f ca="1">HYPERLINK("#"&amp;ADDRESS(2,3,,,Summary_Processes!$Y$2),Summary_Processes!$Y$2)</f>
        <v>Summary_Processes</v>
      </c>
      <c r="L2" s="1187"/>
      <c r="M2" s="1186" t="str">
        <f ca="1">HYPERLINK("#"&amp;ADDRESS(2,3,,,Summary_Products!$BF$2),Summary_Products!$BF$2)</f>
        <v>Summary_Products</v>
      </c>
      <c r="N2" s="1187"/>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78"/>
      <c r="C3" s="1179"/>
      <c r="D3" s="1180"/>
      <c r="E3" s="1171"/>
      <c r="F3" s="1171"/>
      <c r="G3" s="1171" t="str">
        <f>IFERROR(HYPERLINK("#"&amp;ADDRESS(ROW($A$1)+MATCH(R3,$A:$A,0)-1,3),INDEX($R:$R,MATCH(R3,$A:$A,0))),"")</f>
        <v>General guidance</v>
      </c>
      <c r="H3" s="1171"/>
      <c r="I3" s="1171" t="str">
        <f>IFERROR(HYPERLINK("#"&amp;ADDRESS(ROW($A$1)+MATCH(T3,$A:$A,0)-1,3),INDEX($R:$R,MATCH(T3,$A:$A,0))),"")</f>
        <v>Source streams and emission sources</v>
      </c>
      <c r="J3" s="1171"/>
      <c r="K3" s="1171" t="str">
        <f>IFERROR(HYPERLINK("#"&amp;ADDRESS(ROW($A$1)+MATCH(V3,$A:$A,0)-1,3),INDEX($R:$R,MATCH(V3,$A:$A,0))),"")</f>
        <v>Attribution of emissions to production processes</v>
      </c>
      <c r="L3" s="1171"/>
      <c r="M3" s="1171" t="str">
        <f>IFERROR(HYPERLINK("#"&amp;ADDRESS(ROW($A$1)+MATCH(X3,$A:$A,0)-1,3),INDEX($R:$R,MATCH(X3,$A:$A,0))),"")</f>
        <v>Data input for the determination of the specific embedded emissions</v>
      </c>
      <c r="N3" s="1171"/>
      <c r="O3" s="428"/>
      <c r="R3" s="302">
        <v>1</v>
      </c>
      <c r="S3" s="303"/>
      <c r="T3" s="303">
        <v>2</v>
      </c>
      <c r="U3" s="303"/>
      <c r="V3" s="303">
        <v>3</v>
      </c>
      <c r="W3" s="303"/>
      <c r="X3" s="304">
        <v>4</v>
      </c>
    </row>
    <row r="4" spans="1:24" ht="14.1" customHeight="1" thickBot="1" x14ac:dyDescent="0.35">
      <c r="B4" s="1178"/>
      <c r="C4" s="1179"/>
      <c r="D4" s="1180"/>
      <c r="E4" s="1389"/>
      <c r="F4" s="1389"/>
      <c r="G4" s="1389" t="str">
        <f>IFERROR(HYPERLINK("#"&amp;ADDRESS(ROW($A$1)+MATCH(R4,$A:$A,0)-1,3),INDEX($R:$R,MATCH(R4,$A:$A,0))),"")</f>
        <v>Summary of products</v>
      </c>
      <c r="H4" s="1389"/>
      <c r="I4" s="1389"/>
      <c r="J4" s="1389"/>
      <c r="K4" s="1389"/>
      <c r="L4" s="1389"/>
      <c r="M4" s="1389"/>
      <c r="N4" s="1389"/>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47"/>
      <c r="F10" s="1348"/>
      <c r="G10" s="1348"/>
      <c r="H10" s="1348"/>
      <c r="I10" s="1348"/>
      <c r="J10" s="1348"/>
      <c r="K10" s="1348"/>
      <c r="L10" s="1348"/>
      <c r="M10" s="1348"/>
      <c r="N10" s="1348"/>
      <c r="O10" s="428"/>
    </row>
    <row r="11" spans="1:24" ht="38.25" customHeight="1" x14ac:dyDescent="0.25">
      <c r="A11" s="92"/>
      <c r="B11" s="94"/>
      <c r="C11" s="948"/>
      <c r="D11" s="950"/>
      <c r="E11" s="1381"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81"/>
      <c r="G11" s="1381"/>
      <c r="H11" s="1381"/>
      <c r="I11" s="1381"/>
      <c r="J11" s="1381"/>
      <c r="K11" s="1381"/>
      <c r="L11" s="1381"/>
      <c r="M11" s="1381"/>
      <c r="N11" s="1381"/>
      <c r="O11" s="428"/>
    </row>
    <row r="12" spans="1:24" ht="25.5" customHeight="1" x14ac:dyDescent="0.25">
      <c r="A12" s="92"/>
      <c r="B12" s="94"/>
      <c r="C12" s="948"/>
      <c r="D12" s="951"/>
      <c r="E12" s="1381"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81"/>
      <c r="G12" s="1381"/>
      <c r="H12" s="1381"/>
      <c r="I12" s="1381"/>
      <c r="J12" s="1381"/>
      <c r="K12" s="1381"/>
      <c r="L12" s="1381"/>
      <c r="M12" s="1381"/>
      <c r="N12" s="1381"/>
      <c r="O12" s="428"/>
    </row>
    <row r="13" spans="1:24" ht="12.75" customHeight="1" x14ac:dyDescent="0.25">
      <c r="A13" s="92"/>
      <c r="B13" s="94"/>
      <c r="C13" s="948"/>
      <c r="D13" s="951"/>
      <c r="E13" s="1385" t="str">
        <f>Translations!$B$359</f>
        <v>You can also find further guidance, including examples, in the guidance document published on the European Commission's website, which can be found here:</v>
      </c>
      <c r="F13" s="1385"/>
      <c r="G13" s="1385"/>
      <c r="H13" s="1385"/>
      <c r="I13" s="1385"/>
      <c r="J13" s="1385"/>
      <c r="K13" s="1385"/>
      <c r="L13" s="1385"/>
      <c r="M13" s="1385"/>
      <c r="N13" s="1385"/>
      <c r="O13" s="428"/>
    </row>
    <row r="14" spans="1:24" ht="12.75" customHeight="1" x14ac:dyDescent="0.25">
      <c r="A14" s="92"/>
      <c r="B14" s="94"/>
      <c r="C14" s="948"/>
      <c r="D14" s="951"/>
      <c r="E14" s="1394" t="str">
        <f>HYPERLINK(Translations!$B$61,Translations!$B$61)</f>
        <v>https://taxation-customs.ec.europa.eu/carbon-border-adjustment-mechanism_en</v>
      </c>
      <c r="F14" s="1395"/>
      <c r="G14" s="1395"/>
      <c r="H14" s="1395"/>
      <c r="I14" s="1395"/>
      <c r="J14" s="1395"/>
      <c r="K14" s="1395"/>
      <c r="L14" s="1395"/>
      <c r="M14" s="1395"/>
      <c r="N14" s="1395"/>
      <c r="O14" s="428"/>
    </row>
    <row r="15" spans="1:24" ht="5.0999999999999996" customHeight="1" x14ac:dyDescent="0.25">
      <c r="A15" s="92"/>
      <c r="B15" s="94"/>
      <c r="C15" s="948"/>
      <c r="D15" s="951"/>
      <c r="E15" s="1347"/>
      <c r="F15" s="1348"/>
      <c r="G15" s="1348"/>
      <c r="H15" s="1348"/>
      <c r="I15" s="1348"/>
      <c r="J15" s="1348"/>
      <c r="K15" s="1348"/>
      <c r="L15" s="1348"/>
      <c r="M15" s="1348"/>
      <c r="N15" s="1348"/>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47"/>
      <c r="F19" s="1348"/>
      <c r="G19" s="1348"/>
      <c r="H19" s="1348"/>
      <c r="I19" s="1348"/>
      <c r="J19" s="1348"/>
      <c r="K19" s="1348"/>
      <c r="L19" s="1348"/>
      <c r="M19" s="1348"/>
      <c r="N19" s="1348"/>
      <c r="O19" s="428"/>
    </row>
    <row r="20" spans="1:23" ht="12.75" customHeight="1" x14ac:dyDescent="0.25">
      <c r="A20" s="92"/>
      <c r="B20" s="94"/>
      <c r="C20" s="948"/>
      <c r="D20" s="950"/>
      <c r="E20" s="1385" t="str">
        <f>Translations!$B$360</f>
        <v>In sheet "B_EmInst" the energy content and the greenhouse gas (GHG) emissions are calculated for each source stream and emission source.</v>
      </c>
      <c r="F20" s="1385"/>
      <c r="G20" s="1385"/>
      <c r="H20" s="1385"/>
      <c r="I20" s="1385"/>
      <c r="J20" s="1385"/>
      <c r="K20" s="1385"/>
      <c r="L20" s="1385"/>
      <c r="M20" s="1385"/>
      <c r="N20" s="1385"/>
      <c r="O20" s="428"/>
    </row>
    <row r="21" spans="1:23" ht="25.95" customHeight="1" x14ac:dyDescent="0.25">
      <c r="A21" s="92"/>
      <c r="B21" s="94"/>
      <c r="C21" s="948"/>
      <c r="D21" s="951"/>
      <c r="E21" s="1385" t="str">
        <f>Translations!$B$361</f>
        <v>At the top of each block in that sheet you can find examples on how to complete data inputs in order to calculate the corresponding emissions for each source stream and emission source.</v>
      </c>
      <c r="F21" s="1385"/>
      <c r="G21" s="1385"/>
      <c r="H21" s="1385"/>
      <c r="I21" s="1385"/>
      <c r="J21" s="1385"/>
      <c r="K21" s="1385"/>
      <c r="L21" s="1385"/>
      <c r="M21" s="1385"/>
      <c r="N21" s="1385"/>
      <c r="O21" s="428"/>
    </row>
    <row r="22" spans="1:23" ht="25.95" customHeight="1" x14ac:dyDescent="0.25">
      <c r="A22" s="92"/>
      <c r="B22" s="94"/>
      <c r="C22" s="948"/>
      <c r="D22" s="951"/>
      <c r="E22" s="1385"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5"/>
      <c r="G22" s="1385"/>
      <c r="H22" s="1385"/>
      <c r="I22" s="1385"/>
      <c r="J22" s="1385"/>
      <c r="K22" s="1385"/>
      <c r="L22" s="1385"/>
      <c r="M22" s="1385"/>
      <c r="N22" s="1385"/>
      <c r="O22" s="428"/>
    </row>
    <row r="23" spans="1:23" ht="13.2" customHeight="1" x14ac:dyDescent="0.25">
      <c r="A23" s="92"/>
      <c r="B23" s="94"/>
      <c r="C23" s="948"/>
      <c r="D23" s="951"/>
      <c r="E23" s="1385" t="str">
        <f>Translations!$B$362</f>
        <v>Guidance on each parameter below aims to help you with filling all input fields in sheet "B_EmInst".</v>
      </c>
      <c r="F23" s="1385"/>
      <c r="G23" s="1385"/>
      <c r="H23" s="1385"/>
      <c r="I23" s="1385"/>
      <c r="J23" s="1385"/>
      <c r="K23" s="1385"/>
      <c r="L23" s="1385"/>
      <c r="M23" s="1385"/>
      <c r="N23" s="1385"/>
      <c r="O23" s="428"/>
    </row>
    <row r="24" spans="1:23" ht="5.0999999999999996" customHeight="1" x14ac:dyDescent="0.25">
      <c r="A24" s="92"/>
      <c r="B24" s="94"/>
      <c r="C24" s="948"/>
      <c r="D24" s="951"/>
      <c r="E24" s="1347"/>
      <c r="F24" s="1348"/>
      <c r="G24" s="1348"/>
      <c r="H24" s="1348"/>
      <c r="I24" s="1348"/>
      <c r="J24" s="1348"/>
      <c r="K24" s="1348"/>
      <c r="L24" s="1348"/>
      <c r="M24" s="1348"/>
      <c r="N24" s="1348"/>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77" t="str">
        <f ca="1">HYPERLINK("#"&amp;S26,CONST_LinkFromGuidance)</f>
        <v>Please click on this link if you want to go back to the relevant section for data entry.</v>
      </c>
      <c r="F26" s="1377"/>
      <c r="G26" s="1377"/>
      <c r="H26" s="1377"/>
      <c r="I26" s="1377"/>
      <c r="J26" s="1377"/>
      <c r="K26" s="1377"/>
      <c r="L26" s="1377"/>
      <c r="M26" s="1377"/>
      <c r="N26" s="1377"/>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83" t="str">
        <f>Translations!$B$1958</f>
        <v>Calculation based approaches: Source Streams (excluding PFC emissions)</v>
      </c>
      <c r="F28" s="1383"/>
      <c r="G28" s="1383"/>
      <c r="H28" s="1383"/>
      <c r="I28" s="1383"/>
      <c r="J28" s="1383"/>
      <c r="K28" s="1383"/>
      <c r="L28" s="1383"/>
      <c r="M28" s="1383"/>
      <c r="N28" s="1383"/>
      <c r="O28" s="428"/>
      <c r="S28" s="110"/>
    </row>
    <row r="29" spans="1:23" ht="25.5" customHeight="1" x14ac:dyDescent="0.25">
      <c r="A29" s="92"/>
      <c r="B29" s="94"/>
      <c r="C29" s="144"/>
      <c r="D29" s="914"/>
      <c r="E29" s="1371" t="str">
        <f>Translations!$B$1983</f>
        <v xml:space="preserve">This block is used for entering all emissions monitored using a "calculation-based approach" (Implementing Act Annex III section B.3). </v>
      </c>
      <c r="F29" s="1384"/>
      <c r="G29" s="1384"/>
      <c r="H29" s="1384"/>
      <c r="I29" s="1384"/>
      <c r="J29" s="1384"/>
      <c r="K29" s="1384"/>
      <c r="L29" s="1384"/>
      <c r="M29" s="1384"/>
      <c r="N29" s="1384"/>
      <c r="O29" s="428"/>
      <c r="S29" s="110"/>
    </row>
    <row r="30" spans="1:23" ht="25.5" customHeight="1" x14ac:dyDescent="0.25">
      <c r="A30" s="92"/>
      <c r="B30" s="94"/>
      <c r="C30" s="144"/>
      <c r="D30" s="914"/>
      <c r="E30" s="415" t="str">
        <f>Translations!$B$132</f>
        <v>Method</v>
      </c>
      <c r="F30" s="416"/>
      <c r="G30" s="1371" t="str">
        <f>Translations!$B$364</f>
        <v>Please select from the drop-down list the monitoring method applied for the relevant source stream: "combustion", "process emissions" or "mass balance".</v>
      </c>
      <c r="H30" s="1371"/>
      <c r="I30" s="1371"/>
      <c r="J30" s="1371"/>
      <c r="K30" s="1371"/>
      <c r="L30" s="1371"/>
      <c r="M30" s="1371"/>
      <c r="N30" s="1371"/>
      <c r="O30" s="428"/>
      <c r="S30" s="110"/>
    </row>
    <row r="31" spans="1:23" ht="25.95" customHeight="1" x14ac:dyDescent="0.25">
      <c r="A31" s="92"/>
      <c r="B31" s="94"/>
      <c r="C31" s="144"/>
      <c r="D31" s="914"/>
      <c r="E31" s="242" t="str">
        <f>Translations!$B$133</f>
        <v>Source stream name</v>
      </c>
      <c r="F31" s="414"/>
      <c r="G31" s="1371" t="str">
        <f>Translations!$B$365</f>
        <v>Please enter here the name of the source stream, e.g. coal, natural gas, clinker raw meal, limestone, iron ore, steel, scrap iron, scrap aluminium.</v>
      </c>
      <c r="H31" s="1371"/>
      <c r="I31" s="1371"/>
      <c r="J31" s="1371"/>
      <c r="K31" s="1371"/>
      <c r="L31" s="1371"/>
      <c r="M31" s="1371"/>
      <c r="N31" s="1371"/>
      <c r="O31" s="428"/>
      <c r="S31" s="110"/>
    </row>
    <row r="32" spans="1:23" ht="38.25" customHeight="1" x14ac:dyDescent="0.25">
      <c r="A32" s="92"/>
      <c r="B32" s="94"/>
      <c r="C32" s="144"/>
      <c r="D32" s="914"/>
      <c r="E32" s="242" t="str">
        <f>Translations!$B$134</f>
        <v>Activity data (AD)</v>
      </c>
      <c r="F32" s="414"/>
      <c r="G32" s="1371"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1"/>
      <c r="I32" s="1371"/>
      <c r="J32" s="1371"/>
      <c r="K32" s="1371"/>
      <c r="L32" s="1371"/>
      <c r="M32" s="1371"/>
      <c r="N32" s="1371"/>
      <c r="O32" s="428"/>
      <c r="S32" s="110"/>
    </row>
    <row r="33" spans="1:19" ht="25.5" customHeight="1" x14ac:dyDescent="0.25">
      <c r="A33" s="92"/>
      <c r="B33" s="94"/>
      <c r="C33" s="144"/>
      <c r="D33" s="914"/>
      <c r="E33" s="242" t="str">
        <f>Translations!$B$368</f>
        <v>AD unit</v>
      </c>
      <c r="F33" s="414"/>
      <c r="G33" s="1371" t="str">
        <f>Translations!$B$1985</f>
        <v>The corresponding units in which the amounts above are provided. Please select tonnes (t) for mass of solid, liquid or gaseous materials and fuels, or 1000 normal cubic metres (Nm³) for gases.</v>
      </c>
      <c r="H33" s="1371"/>
      <c r="I33" s="1371"/>
      <c r="J33" s="1371"/>
      <c r="K33" s="1371"/>
      <c r="L33" s="1371"/>
      <c r="M33" s="1371"/>
      <c r="N33" s="1371"/>
      <c r="O33" s="428"/>
      <c r="S33" s="110"/>
    </row>
    <row r="34" spans="1:19" ht="25.5" customHeight="1" x14ac:dyDescent="0.25">
      <c r="A34" s="92"/>
      <c r="B34" s="94"/>
      <c r="C34" s="144"/>
      <c r="D34" s="914"/>
      <c r="E34" s="413" t="str">
        <f>Translations!$B$136</f>
        <v>Net calorific value (NCV)</v>
      </c>
      <c r="F34" s="417"/>
      <c r="G34" s="1380" t="str">
        <f>Translations!$B$1986</f>
        <v>The net calorific value is the specific amount of energy released as heat when a fuel or material undergoes complete combustion with oxygen under standard conditions less the heat of vaporisation of any water formed.</v>
      </c>
      <c r="H34" s="1380"/>
      <c r="I34" s="1380"/>
      <c r="J34" s="1380"/>
      <c r="K34" s="1380"/>
      <c r="L34" s="1380"/>
      <c r="M34" s="1380"/>
      <c r="N34" s="1380"/>
      <c r="O34" s="428"/>
      <c r="S34" s="110"/>
    </row>
    <row r="35" spans="1:19" ht="39.6" customHeight="1" x14ac:dyDescent="0.25">
      <c r="A35" s="92"/>
      <c r="B35" s="94"/>
      <c r="C35" s="144"/>
      <c r="D35" s="914"/>
      <c r="E35" s="441"/>
      <c r="F35" s="442"/>
      <c r="G35" s="1370"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69"/>
      <c r="I35" s="1169"/>
      <c r="J35" s="1169"/>
      <c r="K35" s="1169"/>
      <c r="L35" s="1169"/>
      <c r="M35" s="1169"/>
      <c r="N35" s="1169"/>
      <c r="O35" s="428"/>
      <c r="S35" s="110"/>
    </row>
    <row r="36" spans="1:19" ht="26.4" customHeight="1" x14ac:dyDescent="0.25">
      <c r="A36" s="92"/>
      <c r="B36" s="94"/>
      <c r="C36" s="144"/>
      <c r="D36" s="914"/>
      <c r="E36" s="441"/>
      <c r="F36" s="442"/>
      <c r="G36" s="1370" t="str">
        <f>Translations!$B$1988</f>
        <v>For process emissions, the NCV can be entered for fuels used as process material. In this case, the unit for the emission factor must be chosen as "tCO2/TJ". Otherwise the NCV is ignored in the calculation of emissions.</v>
      </c>
      <c r="H36" s="1169"/>
      <c r="I36" s="1169"/>
      <c r="J36" s="1169"/>
      <c r="K36" s="1169"/>
      <c r="L36" s="1169"/>
      <c r="M36" s="1169"/>
      <c r="N36" s="1169"/>
      <c r="O36" s="428"/>
      <c r="S36" s="110"/>
    </row>
    <row r="37" spans="1:19" ht="13.2" customHeight="1" x14ac:dyDescent="0.25">
      <c r="A37" s="92"/>
      <c r="B37" s="94"/>
      <c r="C37" s="144"/>
      <c r="D37" s="914"/>
      <c r="E37" s="415"/>
      <c r="F37" s="416"/>
      <c r="G37" s="1373" t="str">
        <f>Translations!$B$1989</f>
        <v>For mass balances, the NCV can be entered for informative purposes, but it is not used for emission calculation.</v>
      </c>
      <c r="H37" s="1386"/>
      <c r="I37" s="1386"/>
      <c r="J37" s="1386"/>
      <c r="K37" s="1386"/>
      <c r="L37" s="1386"/>
      <c r="M37" s="1386"/>
      <c r="N37" s="1386"/>
      <c r="O37" s="428"/>
      <c r="S37" s="110"/>
    </row>
    <row r="38" spans="1:19" ht="38.700000000000003" customHeight="1" x14ac:dyDescent="0.25">
      <c r="A38" s="92"/>
      <c r="B38" s="94"/>
      <c r="C38" s="144"/>
      <c r="D38" s="914"/>
      <c r="E38" s="242" t="str">
        <f>Translations!$B$137</f>
        <v>NCV Unit</v>
      </c>
      <c r="F38" s="414"/>
      <c r="G38" s="1371"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76"/>
      <c r="I38" s="1376"/>
      <c r="J38" s="1376"/>
      <c r="K38" s="1376"/>
      <c r="L38" s="1376"/>
      <c r="M38" s="1376"/>
      <c r="N38" s="1376"/>
      <c r="O38" s="428"/>
      <c r="S38" s="110"/>
    </row>
    <row r="39" spans="1:19" ht="51.45" customHeight="1" x14ac:dyDescent="0.25">
      <c r="A39" s="92"/>
      <c r="B39" s="94"/>
      <c r="C39" s="144"/>
      <c r="D39" s="914"/>
      <c r="E39" s="242" t="str">
        <f>Translations!$B$138</f>
        <v>Emission factor (EF)</v>
      </c>
      <c r="F39" s="414"/>
      <c r="G39" s="1371"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1"/>
      <c r="I39" s="1371"/>
      <c r="J39" s="1371"/>
      <c r="K39" s="1371"/>
      <c r="L39" s="1371"/>
      <c r="M39" s="1371"/>
      <c r="N39" s="1371"/>
      <c r="O39" s="428"/>
      <c r="S39" s="110"/>
    </row>
    <row r="40" spans="1:19" ht="38.700000000000003" customHeight="1" x14ac:dyDescent="0.25">
      <c r="A40" s="92"/>
      <c r="B40" s="94"/>
      <c r="C40" s="144"/>
      <c r="D40" s="914"/>
      <c r="E40" s="242" t="str">
        <f>Translations!$B$139</f>
        <v>EF Unit</v>
      </c>
      <c r="F40" s="414"/>
      <c r="G40" s="1387"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388"/>
      <c r="I40" s="1388"/>
      <c r="J40" s="1388"/>
      <c r="K40" s="1388"/>
      <c r="L40" s="1388"/>
      <c r="M40" s="1388"/>
      <c r="N40" s="1388"/>
      <c r="O40" s="428"/>
      <c r="S40" s="110"/>
    </row>
    <row r="41" spans="1:19" ht="25.95" customHeight="1" x14ac:dyDescent="0.25">
      <c r="A41" s="92"/>
      <c r="B41" s="94"/>
      <c r="C41" s="144"/>
      <c r="D41" s="914"/>
      <c r="E41" s="242" t="str">
        <f>Translations!$B$140</f>
        <v>Carbon content</v>
      </c>
      <c r="F41" s="414"/>
      <c r="G41" s="1371" t="str">
        <f>Translations!$B$1993</f>
        <v>The carbon content of the fuel or material. This parameter is used only for the mass balance approach (Section B.3.2 of Annex III of the implementing act).</v>
      </c>
      <c r="H41" s="1371"/>
      <c r="I41" s="1371"/>
      <c r="J41" s="1371"/>
      <c r="K41" s="1371"/>
      <c r="L41" s="1371"/>
      <c r="M41" s="1371"/>
      <c r="N41" s="1371"/>
      <c r="O41" s="428"/>
      <c r="S41" s="110"/>
    </row>
    <row r="42" spans="1:19" ht="26.4" customHeight="1" x14ac:dyDescent="0.25">
      <c r="A42" s="92"/>
      <c r="B42" s="94"/>
      <c r="C42" s="144"/>
      <c r="D42" s="914"/>
      <c r="E42" s="242" t="str">
        <f>Translations!$B$141</f>
        <v>C-Content Unit</v>
      </c>
      <c r="F42" s="414"/>
      <c r="G42" s="1371" t="str">
        <f>Translations!$B$1994</f>
        <v xml:space="preserve">Depending on the selected unit for the activity data, the correct unit for the carbon content (either "tC/t material", or "tC/1000Nm3" for gases) is automatically displayed. </v>
      </c>
      <c r="H42" s="1371"/>
      <c r="I42" s="1371"/>
      <c r="J42" s="1371"/>
      <c r="K42" s="1371"/>
      <c r="L42" s="1371"/>
      <c r="M42" s="1371"/>
      <c r="N42" s="1371"/>
      <c r="O42" s="428"/>
      <c r="S42" s="110"/>
    </row>
    <row r="43" spans="1:19" ht="25.5" customHeight="1" x14ac:dyDescent="0.25">
      <c r="A43" s="92"/>
      <c r="B43" s="94"/>
      <c r="C43" s="144"/>
      <c r="D43" s="914"/>
      <c r="E43" s="413" t="str">
        <f>Translations!$B$142</f>
        <v>Oxidation factor (OxF)</v>
      </c>
      <c r="F43" s="417"/>
      <c r="G43" s="1380"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80"/>
      <c r="I43" s="1380"/>
      <c r="J43" s="1380"/>
      <c r="K43" s="1380"/>
      <c r="L43" s="1380"/>
      <c r="M43" s="1380"/>
      <c r="N43" s="1380"/>
      <c r="O43" s="428"/>
      <c r="S43" s="110"/>
    </row>
    <row r="44" spans="1:19" ht="25.5" customHeight="1" x14ac:dyDescent="0.25">
      <c r="A44" s="92"/>
      <c r="B44" s="94"/>
      <c r="C44" s="144"/>
      <c r="D44" s="914"/>
      <c r="E44" s="441"/>
      <c r="F44" s="442"/>
      <c r="G44" s="1373"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73"/>
      <c r="I44" s="1373"/>
      <c r="J44" s="1373"/>
      <c r="K44" s="1373"/>
      <c r="L44" s="1373"/>
      <c r="M44" s="1373"/>
      <c r="N44" s="1373"/>
      <c r="O44" s="428"/>
      <c r="S44" s="110"/>
    </row>
    <row r="45" spans="1:19" ht="13.2" customHeight="1" x14ac:dyDescent="0.25">
      <c r="A45" s="92"/>
      <c r="B45" s="94"/>
      <c r="C45" s="144"/>
      <c r="D45" s="914"/>
      <c r="E45" s="415"/>
      <c r="F45" s="416"/>
      <c r="G45" s="1373" t="str">
        <f>Translations!$B$1996</f>
        <v>Due to the way how Excel handles percentage values, only numbers WITHOUT percentage sign ("%") must be entered.</v>
      </c>
      <c r="H45" s="1373"/>
      <c r="I45" s="1373"/>
      <c r="J45" s="1373"/>
      <c r="K45" s="1373"/>
      <c r="L45" s="1373"/>
      <c r="M45" s="1373"/>
      <c r="N45" s="1373"/>
      <c r="O45" s="428"/>
      <c r="S45" s="110"/>
    </row>
    <row r="46" spans="1:19" ht="13.2" customHeight="1" x14ac:dyDescent="0.25">
      <c r="A46" s="92"/>
      <c r="B46" s="94"/>
      <c r="C46" s="144"/>
      <c r="D46" s="914"/>
      <c r="E46" s="242" t="str">
        <f>Translations!$B$143</f>
        <v>OxF Unit</v>
      </c>
      <c r="F46" s="414"/>
      <c r="G46" s="1371" t="str">
        <f>Translations!$B$1997</f>
        <v>The unit of the oxidation factor is always percent (%).</v>
      </c>
      <c r="H46" s="1371"/>
      <c r="I46" s="1371"/>
      <c r="J46" s="1371"/>
      <c r="K46" s="1371"/>
      <c r="L46" s="1371"/>
      <c r="M46" s="1371"/>
      <c r="N46" s="1371"/>
      <c r="O46" s="428"/>
      <c r="S46" s="110"/>
    </row>
    <row r="47" spans="1:19" ht="25.5" customHeight="1" x14ac:dyDescent="0.25">
      <c r="A47" s="92"/>
      <c r="B47" s="94"/>
      <c r="C47" s="144"/>
      <c r="D47" s="914"/>
      <c r="E47" s="413" t="str">
        <f>Translations!$B$144</f>
        <v>Conversion factor (ConvF)</v>
      </c>
      <c r="F47" s="417"/>
      <c r="G47" s="1371"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1"/>
      <c r="I47" s="1371"/>
      <c r="J47" s="1371"/>
      <c r="K47" s="1371"/>
      <c r="L47" s="1371"/>
      <c r="M47" s="1371"/>
      <c r="N47" s="1371"/>
      <c r="O47" s="428"/>
      <c r="S47" s="110"/>
    </row>
    <row r="48" spans="1:19" ht="25.5" customHeight="1" x14ac:dyDescent="0.25">
      <c r="A48" s="92"/>
      <c r="B48" s="94"/>
      <c r="C48" s="144"/>
      <c r="D48" s="914"/>
      <c r="E48" s="441"/>
      <c r="F48" s="442"/>
      <c r="G48" s="1373"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73"/>
      <c r="I48" s="1373"/>
      <c r="J48" s="1373"/>
      <c r="K48" s="1373"/>
      <c r="L48" s="1373"/>
      <c r="M48" s="1373"/>
      <c r="N48" s="1373"/>
      <c r="O48" s="428"/>
      <c r="S48" s="110"/>
    </row>
    <row r="49" spans="1:19" ht="13.2" customHeight="1" x14ac:dyDescent="0.25">
      <c r="A49" s="92"/>
      <c r="B49" s="94"/>
      <c r="C49" s="144"/>
      <c r="D49" s="914"/>
      <c r="E49" s="415"/>
      <c r="F49" s="416"/>
      <c r="G49" s="1373" t="str">
        <f>Translations!$B$1996</f>
        <v>Due to the way how Excel handles percentage values, only numbers WITHOUT percentage sign ("%") must be entered.</v>
      </c>
      <c r="H49" s="1373"/>
      <c r="I49" s="1373"/>
      <c r="J49" s="1373"/>
      <c r="K49" s="1373"/>
      <c r="L49" s="1373"/>
      <c r="M49" s="1373"/>
      <c r="N49" s="1373"/>
      <c r="O49" s="428"/>
      <c r="S49" s="110"/>
    </row>
    <row r="50" spans="1:19" ht="13.2" customHeight="1" x14ac:dyDescent="0.25">
      <c r="A50" s="92"/>
      <c r="B50" s="94"/>
      <c r="C50" s="144"/>
      <c r="D50" s="914"/>
      <c r="E50" s="242" t="str">
        <f>Translations!$B$145</f>
        <v>ConvF Unit</v>
      </c>
      <c r="F50" s="414"/>
      <c r="G50" s="1371" t="str">
        <f>Translations!$B$1999</f>
        <v>The unit of the conversion factor is always percent (%).</v>
      </c>
      <c r="H50" s="1371"/>
      <c r="I50" s="1371"/>
      <c r="J50" s="1371"/>
      <c r="K50" s="1371"/>
      <c r="L50" s="1371"/>
      <c r="M50" s="1371"/>
      <c r="N50" s="1371"/>
      <c r="O50" s="428"/>
      <c r="S50" s="110"/>
    </row>
    <row r="51" spans="1:19" ht="25.5" customHeight="1" x14ac:dyDescent="0.25">
      <c r="A51" s="92"/>
      <c r="B51" s="94"/>
      <c r="C51" s="144"/>
      <c r="D51" s="914"/>
      <c r="E51" s="413" t="str">
        <f>Translations!$B$146</f>
        <v>Biomass content (BioC)</v>
      </c>
      <c r="F51" s="417"/>
      <c r="G51" s="1380" t="str">
        <f>Translations!$B$378</f>
        <v>The biomass fraction is the ratio of carbon stemming from biomass to the total carbon content of a fuel or material, expressed as percentage.</v>
      </c>
      <c r="H51" s="1380"/>
      <c r="I51" s="1380"/>
      <c r="J51" s="1380"/>
      <c r="K51" s="1380"/>
      <c r="L51" s="1380"/>
      <c r="M51" s="1380"/>
      <c r="N51" s="1380"/>
      <c r="O51" s="428"/>
      <c r="S51" s="110"/>
    </row>
    <row r="52" spans="1:19" ht="38.700000000000003" customHeight="1" x14ac:dyDescent="0.25">
      <c r="A52" s="92"/>
      <c r="B52" s="94"/>
      <c r="C52" s="144"/>
      <c r="D52" s="914"/>
      <c r="E52" s="441"/>
      <c r="F52" s="442"/>
      <c r="G52" s="1370"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0"/>
      <c r="I52" s="1370"/>
      <c r="J52" s="1370"/>
      <c r="K52" s="1370"/>
      <c r="L52" s="1370"/>
      <c r="M52" s="1370"/>
      <c r="N52" s="1370"/>
      <c r="O52" s="428"/>
      <c r="S52" s="110"/>
    </row>
    <row r="53" spans="1:19" ht="13.2" customHeight="1" x14ac:dyDescent="0.25">
      <c r="A53" s="92"/>
      <c r="B53" s="94"/>
      <c r="C53" s="144"/>
      <c r="D53" s="914"/>
      <c r="E53" s="415"/>
      <c r="F53" s="416"/>
      <c r="G53" s="1373" t="str">
        <f>Translations!$B$1996</f>
        <v>Due to the way how Excel handles percentage values, only numbers WITHOUT percentage sign ("%") must be entered.</v>
      </c>
      <c r="H53" s="1373"/>
      <c r="I53" s="1373"/>
      <c r="J53" s="1373"/>
      <c r="K53" s="1373"/>
      <c r="L53" s="1373"/>
      <c r="M53" s="1373"/>
      <c r="N53" s="1373"/>
      <c r="O53" s="428"/>
      <c r="S53" s="110"/>
    </row>
    <row r="54" spans="1:19" ht="13.2" customHeight="1" x14ac:dyDescent="0.25">
      <c r="A54" s="92"/>
      <c r="B54" s="94"/>
      <c r="C54" s="144"/>
      <c r="D54" s="914"/>
      <c r="E54" s="242" t="str">
        <f>Translations!$B$147</f>
        <v>BioC Unit</v>
      </c>
      <c r="F54" s="414"/>
      <c r="G54" s="1371" t="str">
        <f>Translations!$B$2001</f>
        <v>The unit of the biomass fraction is always percent (%).</v>
      </c>
      <c r="H54" s="1371"/>
      <c r="I54" s="1371"/>
      <c r="J54" s="1371"/>
      <c r="K54" s="1371"/>
      <c r="L54" s="1371"/>
      <c r="M54" s="1371"/>
      <c r="N54" s="1371"/>
      <c r="O54" s="428"/>
      <c r="S54" s="110"/>
    </row>
    <row r="55" spans="1:19" ht="25.5" customHeight="1" x14ac:dyDescent="0.25">
      <c r="A55" s="92"/>
      <c r="B55" s="94"/>
      <c r="C55" s="144"/>
      <c r="D55" s="914"/>
      <c r="E55" s="242" t="str">
        <f>Translations!$B$379</f>
        <v>Further columns greyed out</v>
      </c>
      <c r="F55" s="414"/>
      <c r="G55" s="1371" t="str">
        <f>Translations!$B$380</f>
        <v>Further columns are relevant for PFC emissions or emission sources (measurement-based approaches), but not for source streams. For source streams they are therefore greyed out.</v>
      </c>
      <c r="H55" s="1371"/>
      <c r="I55" s="1371"/>
      <c r="J55" s="1371"/>
      <c r="K55" s="1371"/>
      <c r="L55" s="1371"/>
      <c r="M55" s="1371"/>
      <c r="N55" s="1371"/>
      <c r="O55" s="428"/>
      <c r="S55" s="110"/>
    </row>
    <row r="56" spans="1:19" ht="25.5" customHeight="1" x14ac:dyDescent="0.25">
      <c r="A56" s="92"/>
      <c r="B56" s="94"/>
      <c r="C56" s="144"/>
      <c r="D56" s="914"/>
      <c r="E56" s="413" t="str">
        <f>Translations!$B$381</f>
        <v>Energy and emissions</v>
      </c>
      <c r="F56" s="417"/>
      <c r="G56" s="1380" t="str">
        <f>Translations!$B$2002</f>
        <v>On the far right side of each block the total energy content and GHG emissions (fossil and biogenic) are calculated automatically for each source stream.</v>
      </c>
      <c r="H56" s="1380"/>
      <c r="I56" s="1380"/>
      <c r="J56" s="1380"/>
      <c r="K56" s="1380"/>
      <c r="L56" s="1380"/>
      <c r="M56" s="1380"/>
      <c r="N56" s="1380"/>
      <c r="O56" s="428"/>
      <c r="S56" s="110"/>
    </row>
    <row r="57" spans="1:19" ht="25.5" customHeight="1" x14ac:dyDescent="0.25">
      <c r="A57" s="92"/>
      <c r="B57" s="94"/>
      <c r="C57" s="144"/>
      <c r="D57" s="914"/>
      <c r="E57" s="441"/>
      <c r="F57" s="442"/>
      <c r="G57" s="1370" t="str">
        <f>Translations!$B$2003</f>
        <v>If the units of activity data and emission factor are inconsistent, the message "Inconsistent!" is displayed. If the inputs are incomplete, the message "Incomplete!" is shown.</v>
      </c>
      <c r="H57" s="1169"/>
      <c r="I57" s="1169"/>
      <c r="J57" s="1169"/>
      <c r="K57" s="1169"/>
      <c r="L57" s="1169"/>
      <c r="M57" s="1169"/>
      <c r="N57" s="1169"/>
      <c r="O57" s="428"/>
      <c r="S57" s="110"/>
    </row>
    <row r="58" spans="1:19" ht="26.4" customHeight="1" x14ac:dyDescent="0.25">
      <c r="A58" s="92"/>
      <c r="B58" s="94"/>
      <c r="C58" s="144"/>
      <c r="D58" s="914"/>
      <c r="E58" s="415"/>
      <c r="F58" s="416"/>
      <c r="G58" s="1374" t="str">
        <f>Translations!$B$2004</f>
        <v>The fossil emissions are the necessary basis for determining the embedded emissions of CBAM goods. The results are automatically transferred into sheet C_Emissions&amp;Energy.</v>
      </c>
      <c r="H58" s="1163"/>
      <c r="I58" s="1163"/>
      <c r="J58" s="1163"/>
      <c r="K58" s="1163"/>
      <c r="L58" s="1163"/>
      <c r="M58" s="1163"/>
      <c r="N58" s="1163"/>
      <c r="O58" s="428"/>
      <c r="S58" s="110"/>
    </row>
    <row r="59" spans="1:19" ht="25.5" customHeight="1" x14ac:dyDescent="0.25">
      <c r="A59" s="92"/>
      <c r="B59" s="94"/>
      <c r="C59" s="144"/>
      <c r="D59" s="914"/>
      <c r="E59" s="1383" t="str">
        <f>Translations!$B$1962</f>
        <v>PFC (perfluorocarbon) emissions</v>
      </c>
      <c r="F59" s="1383"/>
      <c r="G59" s="1383"/>
      <c r="H59" s="1383"/>
      <c r="I59" s="1383"/>
      <c r="J59" s="1383"/>
      <c r="K59" s="1383"/>
      <c r="L59" s="1383"/>
      <c r="M59" s="1383"/>
      <c r="N59" s="1383"/>
      <c r="O59" s="428"/>
      <c r="S59" s="110"/>
    </row>
    <row r="60" spans="1:19" ht="25.5" customHeight="1" x14ac:dyDescent="0.25">
      <c r="A60" s="92"/>
      <c r="B60" s="94"/>
      <c r="C60" s="144"/>
      <c r="D60" s="914"/>
      <c r="E60" s="1371" t="str">
        <f>Translations!$B$2005</f>
        <v xml:space="preserve">This block is used for entering all emissions monitored using the specific approach for PFC emissions (Implementing Act Annex III section B.7). </v>
      </c>
      <c r="F60" s="1372"/>
      <c r="G60" s="1372"/>
      <c r="H60" s="1372"/>
      <c r="I60" s="1372"/>
      <c r="J60" s="1372"/>
      <c r="K60" s="1372"/>
      <c r="L60" s="1372"/>
      <c r="M60" s="1372"/>
      <c r="N60" s="1372"/>
      <c r="O60" s="428"/>
      <c r="S60" s="110"/>
    </row>
    <row r="61" spans="1:19" ht="13.2" customHeight="1" x14ac:dyDescent="0.25">
      <c r="A61" s="92"/>
      <c r="B61" s="94"/>
      <c r="C61" s="144"/>
      <c r="D61" s="914"/>
      <c r="E61" s="415" t="str">
        <f>Translations!$B$132</f>
        <v>Method</v>
      </c>
      <c r="F61" s="414"/>
      <c r="G61" s="1371" t="str">
        <f>Translations!$B$384</f>
        <v>Please select from the drop-down list the monitoring method applied: "slope" (Method A) or "overvoltage" (Method B).</v>
      </c>
      <c r="H61" s="1371"/>
      <c r="I61" s="1371"/>
      <c r="J61" s="1371"/>
      <c r="K61" s="1371"/>
      <c r="L61" s="1371"/>
      <c r="M61" s="1371"/>
      <c r="N61" s="1371"/>
      <c r="O61" s="428"/>
      <c r="S61" s="110"/>
    </row>
    <row r="62" spans="1:19" ht="12.75" customHeight="1" x14ac:dyDescent="0.25">
      <c r="A62" s="92"/>
      <c r="B62" s="94"/>
      <c r="C62" s="144"/>
      <c r="D62" s="914"/>
      <c r="E62" s="242" t="str">
        <f>Translations!$B$1963</f>
        <v>Technology type</v>
      </c>
      <c r="F62" s="414"/>
      <c r="G62" s="1371" t="str">
        <f>Translations!$B$2006</f>
        <v>Please provide here the type of anode technology such as Centre Worked Pre-Bake (CWPB), Vertical Stud Søderberg (VSS), etc.</v>
      </c>
      <c r="H62" s="1371"/>
      <c r="I62" s="1371"/>
      <c r="J62" s="1371"/>
      <c r="K62" s="1371"/>
      <c r="L62" s="1371"/>
      <c r="M62" s="1371"/>
      <c r="N62" s="1371"/>
      <c r="O62" s="428"/>
      <c r="S62" s="110"/>
    </row>
    <row r="63" spans="1:19" ht="12.75" customHeight="1" x14ac:dyDescent="0.25">
      <c r="A63" s="92"/>
      <c r="B63" s="94"/>
      <c r="C63" s="144"/>
      <c r="D63" s="914"/>
      <c r="E63" s="242" t="str">
        <f>B_EmInst!$F$13</f>
        <v>Activity data (AD)</v>
      </c>
      <c r="F63" s="414"/>
      <c r="G63" s="1371" t="str">
        <f>Translations!$B$386</f>
        <v>Activity data = annual production of primary Aluminium</v>
      </c>
      <c r="H63" s="1371"/>
      <c r="I63" s="1371"/>
      <c r="J63" s="1371"/>
      <c r="K63" s="1371"/>
      <c r="L63" s="1371"/>
      <c r="M63" s="1371"/>
      <c r="N63" s="1371"/>
      <c r="O63" s="428"/>
      <c r="S63" s="110"/>
    </row>
    <row r="64" spans="1:19" ht="12.75" customHeight="1" x14ac:dyDescent="0.25">
      <c r="A64" s="92"/>
      <c r="B64" s="94"/>
      <c r="C64" s="144"/>
      <c r="D64" s="914"/>
      <c r="E64" s="242" t="str">
        <f>Translations!$B$135</f>
        <v>AD Unit</v>
      </c>
      <c r="F64" s="414"/>
      <c r="G64" s="1371" t="str">
        <f>Translations!$B$2007</f>
        <v>The unit of activity data (default: Tonnes)</v>
      </c>
      <c r="H64" s="1260"/>
      <c r="I64" s="1260"/>
      <c r="J64" s="1260"/>
      <c r="K64" s="1260"/>
      <c r="L64" s="1260"/>
      <c r="M64" s="1260"/>
      <c r="N64" s="1260"/>
      <c r="O64" s="428"/>
      <c r="S64" s="110"/>
    </row>
    <row r="65" spans="1:19" ht="25.5" customHeight="1" x14ac:dyDescent="0.25">
      <c r="A65" s="92"/>
      <c r="B65" s="94"/>
      <c r="C65" s="144"/>
      <c r="D65" s="914"/>
      <c r="E65" s="242" t="str">
        <f>Translations!$B$379</f>
        <v>Further columns greyed out</v>
      </c>
      <c r="F65" s="414"/>
      <c r="G65" s="1371" t="str">
        <f>Translations!$B$2008</f>
        <v>Further columns which are irrelevant for PFC emissions are greyed out in this table. Please scroll to the right until you reach columns relevant for PFCs.</v>
      </c>
      <c r="H65" s="1371"/>
      <c r="I65" s="1371"/>
      <c r="J65" s="1371"/>
      <c r="K65" s="1371"/>
      <c r="L65" s="1371"/>
      <c r="M65" s="1371"/>
      <c r="N65" s="1371"/>
      <c r="O65" s="428"/>
      <c r="S65" s="110"/>
    </row>
    <row r="66" spans="1:19" ht="12.75" customHeight="1" x14ac:dyDescent="0.25">
      <c r="A66" s="92"/>
      <c r="B66" s="94"/>
      <c r="C66" s="144"/>
      <c r="D66" s="914"/>
      <c r="E66" s="242" t="str">
        <f>Translations!$B$161</f>
        <v>A: Frequency</v>
      </c>
      <c r="F66" s="414"/>
      <c r="G66" s="1371" t="str">
        <f>Translations!$B$387</f>
        <v>Method A: The frequency of anode effects (number of anode effects/cell-day)</v>
      </c>
      <c r="H66" s="1371"/>
      <c r="I66" s="1371"/>
      <c r="J66" s="1371"/>
      <c r="K66" s="1371"/>
      <c r="L66" s="1371"/>
      <c r="M66" s="1371"/>
      <c r="N66" s="1371"/>
      <c r="O66" s="428"/>
      <c r="S66" s="110"/>
    </row>
    <row r="67" spans="1:19" ht="12.75" customHeight="1" x14ac:dyDescent="0.25">
      <c r="A67" s="92"/>
      <c r="B67" s="94"/>
      <c r="C67" s="144"/>
      <c r="D67" s="914"/>
      <c r="E67" s="242" t="str">
        <f>Translations!$B$162</f>
        <v>A: Duration</v>
      </c>
      <c r="F67" s="414"/>
      <c r="G67" s="1371" t="str">
        <f>Translations!$B$388</f>
        <v>Method A: The average duration of anode effects (anode effect minutes/occurrence)</v>
      </c>
      <c r="H67" s="1371"/>
      <c r="I67" s="1371"/>
      <c r="J67" s="1371"/>
      <c r="K67" s="1371"/>
      <c r="L67" s="1371"/>
      <c r="M67" s="1371"/>
      <c r="N67" s="1371"/>
      <c r="O67" s="428"/>
      <c r="S67" s="110"/>
    </row>
    <row r="68" spans="1:19" ht="12.75" customHeight="1" x14ac:dyDescent="0.25">
      <c r="A68" s="92"/>
      <c r="B68" s="94"/>
      <c r="C68" s="144"/>
      <c r="D68" s="914"/>
      <c r="E68" s="242" t="str">
        <f>Translations!$B$163</f>
        <v>A: SEF(CF4)</v>
      </c>
      <c r="F68" s="414"/>
      <c r="G68" s="1371" t="str">
        <f>Translations!$B$2009</f>
        <v>Method A: The slope emission factor (kgCF4/tAl)/(min/cell-day)</v>
      </c>
      <c r="H68" s="1371"/>
      <c r="I68" s="1371"/>
      <c r="J68" s="1371"/>
      <c r="K68" s="1371"/>
      <c r="L68" s="1371"/>
      <c r="M68" s="1371"/>
      <c r="N68" s="1371"/>
      <c r="O68" s="428"/>
      <c r="S68" s="110"/>
    </row>
    <row r="69" spans="1:19" ht="12.75" customHeight="1" x14ac:dyDescent="0.25">
      <c r="A69" s="92"/>
      <c r="B69" s="94"/>
      <c r="C69" s="144"/>
      <c r="D69" s="914"/>
      <c r="E69" s="242" t="str">
        <f>Translations!$B$164</f>
        <v>B: AEO</v>
      </c>
      <c r="F69" s="414"/>
      <c r="G69" s="1371" t="str">
        <f>Translations!$B$2010</f>
        <v>Method B: The anode effect overvoltage per cell (mV)</v>
      </c>
      <c r="H69" s="1371"/>
      <c r="I69" s="1371"/>
      <c r="J69" s="1371"/>
      <c r="K69" s="1371"/>
      <c r="L69" s="1371"/>
      <c r="M69" s="1371"/>
      <c r="N69" s="1371"/>
      <c r="O69" s="428"/>
      <c r="S69" s="110"/>
    </row>
    <row r="70" spans="1:19" ht="12.75" customHeight="1" x14ac:dyDescent="0.25">
      <c r="A70" s="92"/>
      <c r="B70" s="94"/>
      <c r="C70" s="144"/>
      <c r="D70" s="914"/>
      <c r="E70" s="242" t="str">
        <f>Translations!$B$165</f>
        <v>B: CE</v>
      </c>
      <c r="F70" s="414"/>
      <c r="G70" s="1371" t="str">
        <f>Translations!$B$2011</f>
        <v>Method B: The average current efficiency (as % or values between 0 and 1)</v>
      </c>
      <c r="H70" s="1371"/>
      <c r="I70" s="1371"/>
      <c r="J70" s="1371"/>
      <c r="K70" s="1371"/>
      <c r="L70" s="1371"/>
      <c r="M70" s="1371"/>
      <c r="N70" s="1371"/>
      <c r="O70" s="428"/>
      <c r="S70" s="110"/>
    </row>
    <row r="71" spans="1:19" ht="12.75" customHeight="1" x14ac:dyDescent="0.25">
      <c r="A71" s="92"/>
      <c r="B71" s="94"/>
      <c r="C71" s="144"/>
      <c r="D71" s="914"/>
      <c r="E71" s="242" t="str">
        <f>Translations!$B$166</f>
        <v>B: OVC</v>
      </c>
      <c r="F71" s="414"/>
      <c r="G71" s="1371" t="str">
        <f>Translations!$B$2012</f>
        <v>Method B: The overvoltage coefficient (‘emission factor’) (kg CF4)/(t Al mV)</v>
      </c>
      <c r="H71" s="1371"/>
      <c r="I71" s="1371"/>
      <c r="J71" s="1371"/>
      <c r="K71" s="1371"/>
      <c r="L71" s="1371"/>
      <c r="M71" s="1371"/>
      <c r="N71" s="1371"/>
      <c r="O71" s="428"/>
      <c r="S71" s="110"/>
    </row>
    <row r="72" spans="1:19" ht="12.75" customHeight="1" x14ac:dyDescent="0.25">
      <c r="A72" s="92"/>
      <c r="B72" s="94"/>
      <c r="C72" s="144"/>
      <c r="D72" s="914"/>
      <c r="E72" s="242" t="str">
        <f>Translations!$B$167</f>
        <v>F(C2F6)</v>
      </c>
      <c r="F72" s="414"/>
      <c r="G72" s="1371" t="str">
        <f>Translations!$B$2013</f>
        <v>The weight fraction of C2F6 (t C2F6/t CF4) (both methods A and B)</v>
      </c>
      <c r="H72" s="1371"/>
      <c r="I72" s="1371"/>
      <c r="J72" s="1371"/>
      <c r="K72" s="1371"/>
      <c r="L72" s="1371"/>
      <c r="M72" s="1371"/>
      <c r="N72" s="1371"/>
      <c r="O72" s="428"/>
      <c r="S72" s="110"/>
    </row>
    <row r="73" spans="1:19" ht="12.75" customHeight="1" x14ac:dyDescent="0.25">
      <c r="A73" s="92"/>
      <c r="B73" s="94"/>
      <c r="C73" s="144"/>
      <c r="D73" s="914"/>
      <c r="E73" s="242" t="str">
        <f>Translations!$B$168</f>
        <v>CF4 Emissions (t CF4)</v>
      </c>
      <c r="F73" s="414"/>
      <c r="G73" s="1371" t="str">
        <f>Translations!$B$2014</f>
        <v>The emissions of CF4 calculated automatically from the previous inputs as tonnes CF4</v>
      </c>
      <c r="H73" s="1376"/>
      <c r="I73" s="1376"/>
      <c r="J73" s="1376"/>
      <c r="K73" s="1376"/>
      <c r="L73" s="1376"/>
      <c r="M73" s="1376"/>
      <c r="N73" s="1376"/>
      <c r="O73" s="428"/>
      <c r="S73" s="110"/>
    </row>
    <row r="74" spans="1:19" ht="12.75" customHeight="1" x14ac:dyDescent="0.25">
      <c r="A74" s="92"/>
      <c r="B74" s="94"/>
      <c r="C74" s="144"/>
      <c r="D74" s="914"/>
      <c r="E74" s="242" t="str">
        <f>Translations!$B$169</f>
        <v>C2F6 Emissions (t C2F6)</v>
      </c>
      <c r="F74" s="414"/>
      <c r="G74" s="1371" t="str">
        <f>Translations!$B$2015</f>
        <v>The emissions of C2F6 calculated automatically from the previous inputs as tonnes C2F6</v>
      </c>
      <c r="H74" s="1376"/>
      <c r="I74" s="1376"/>
      <c r="J74" s="1376"/>
      <c r="K74" s="1376"/>
      <c r="L74" s="1376"/>
      <c r="M74" s="1376"/>
      <c r="N74" s="1376"/>
      <c r="O74" s="428"/>
      <c r="S74" s="110"/>
    </row>
    <row r="75" spans="1:19" ht="12.75" customHeight="1" x14ac:dyDescent="0.25">
      <c r="A75" s="92"/>
      <c r="B75" s="94"/>
      <c r="C75" s="144"/>
      <c r="D75" s="914"/>
      <c r="E75" s="242" t="str">
        <f>Translations!$B$394</f>
        <v>GWP (CF4)</v>
      </c>
      <c r="F75" s="414"/>
      <c r="G75" s="1371" t="str">
        <f>Translations!$B$395</f>
        <v>The global warming potential of CF4</v>
      </c>
      <c r="H75" s="1371"/>
      <c r="I75" s="1371"/>
      <c r="J75" s="1371"/>
      <c r="K75" s="1371"/>
      <c r="L75" s="1371"/>
      <c r="M75" s="1371"/>
      <c r="N75" s="1371"/>
      <c r="O75" s="428"/>
      <c r="S75" s="110"/>
    </row>
    <row r="76" spans="1:19" ht="12.75" customHeight="1" x14ac:dyDescent="0.25">
      <c r="A76" s="92"/>
      <c r="B76" s="94"/>
      <c r="C76" s="144"/>
      <c r="D76" s="914"/>
      <c r="E76" s="242" t="str">
        <f>Translations!$B$396</f>
        <v>GWP (C2F6)</v>
      </c>
      <c r="F76" s="414"/>
      <c r="G76" s="1371" t="str">
        <f>Translations!$B$397</f>
        <v>The global warming potential of C2F6</v>
      </c>
      <c r="H76" s="1371"/>
      <c r="I76" s="1371"/>
      <c r="J76" s="1371"/>
      <c r="K76" s="1371"/>
      <c r="L76" s="1371"/>
      <c r="M76" s="1371"/>
      <c r="N76" s="1371"/>
      <c r="O76" s="428"/>
      <c r="S76" s="110"/>
    </row>
    <row r="77" spans="1:19" ht="12.75" customHeight="1" x14ac:dyDescent="0.25">
      <c r="A77" s="92"/>
      <c r="B77" s="94"/>
      <c r="C77" s="144"/>
      <c r="D77" s="914"/>
      <c r="E77" s="242" t="str">
        <f>Translations!$B$398</f>
        <v>Collection efficiency</v>
      </c>
      <c r="F77" s="414"/>
      <c r="G77" s="1371" t="str">
        <f>Translations!$B$2016</f>
        <v>Efficiency of the collection of the fugitive PFC emissions (%)</v>
      </c>
      <c r="H77" s="1371"/>
      <c r="I77" s="1371"/>
      <c r="J77" s="1371"/>
      <c r="K77" s="1371"/>
      <c r="L77" s="1371"/>
      <c r="M77" s="1371"/>
      <c r="N77" s="1371"/>
      <c r="O77" s="428"/>
      <c r="S77" s="110"/>
    </row>
    <row r="78" spans="1:19" ht="12.75" customHeight="1" x14ac:dyDescent="0.25">
      <c r="A78" s="92"/>
      <c r="B78" s="94"/>
      <c r="C78" s="144"/>
      <c r="D78" s="914"/>
      <c r="E78" s="415" t="str">
        <f>Translations!$B$175</f>
        <v>CO2e fossil (t)</v>
      </c>
      <c r="F78" s="416"/>
      <c r="G78" s="1371" t="str">
        <f>Translations!$B$2017</f>
        <v>The PFC emissions converted into t CO2e</v>
      </c>
      <c r="H78" s="1376"/>
      <c r="I78" s="1376"/>
      <c r="J78" s="1376"/>
      <c r="K78" s="1376"/>
      <c r="L78" s="1376"/>
      <c r="M78" s="1376"/>
      <c r="N78" s="1376"/>
      <c r="O78" s="428"/>
      <c r="S78" s="110"/>
    </row>
    <row r="79" spans="1:19" ht="25.5" customHeight="1" x14ac:dyDescent="0.25">
      <c r="A79" s="92"/>
      <c r="B79" s="94"/>
      <c r="C79" s="144"/>
      <c r="D79" s="914"/>
      <c r="E79" s="1383" t="str">
        <f>Translations!$B$1964</f>
        <v>Measurement-Based Approaches: Emissions Sources</v>
      </c>
      <c r="F79" s="1383"/>
      <c r="G79" s="1383"/>
      <c r="H79" s="1383"/>
      <c r="I79" s="1383"/>
      <c r="J79" s="1383"/>
      <c r="K79" s="1383"/>
      <c r="L79" s="1383"/>
      <c r="M79" s="1383"/>
      <c r="N79" s="1383"/>
      <c r="O79" s="428"/>
      <c r="S79" s="110"/>
    </row>
    <row r="80" spans="1:19" ht="25.5" customHeight="1" x14ac:dyDescent="0.25">
      <c r="A80" s="92"/>
      <c r="B80" s="94"/>
      <c r="C80" s="144"/>
      <c r="D80" s="914"/>
      <c r="E80" s="1371" t="str">
        <f>Translations!$B$2018</f>
        <v>This block is used for entering all emissions monitored using the measurement-based approach using Continuous Emission Monitoring Systems / CEMS (Implementing Act Annex III section B.6).</v>
      </c>
      <c r="F80" s="1372"/>
      <c r="G80" s="1372"/>
      <c r="H80" s="1372"/>
      <c r="I80" s="1372"/>
      <c r="J80" s="1372"/>
      <c r="K80" s="1372"/>
      <c r="L80" s="1372"/>
      <c r="M80" s="1372"/>
      <c r="N80" s="1372"/>
      <c r="O80" s="428"/>
      <c r="S80" s="110"/>
    </row>
    <row r="81" spans="1:19" ht="12.75" customHeight="1" x14ac:dyDescent="0.25">
      <c r="A81" s="92"/>
      <c r="B81" s="94"/>
      <c r="C81" s="144"/>
      <c r="D81" s="914"/>
      <c r="E81" s="415" t="str">
        <f>Translations!$B$122</f>
        <v>Name</v>
      </c>
      <c r="F81" s="414"/>
      <c r="G81" s="1371" t="str">
        <f>Translations!$B$401</f>
        <v>Please enter here a name for the emission source or the point of emission, e.g. Stack xyz.</v>
      </c>
      <c r="H81" s="1371"/>
      <c r="I81" s="1371"/>
      <c r="J81" s="1371"/>
      <c r="K81" s="1371"/>
      <c r="L81" s="1371"/>
      <c r="M81" s="1371"/>
      <c r="N81" s="1371"/>
      <c r="O81" s="428"/>
      <c r="S81" s="110"/>
    </row>
    <row r="82" spans="1:19" ht="12.75" customHeight="1" x14ac:dyDescent="0.25">
      <c r="A82" s="92"/>
      <c r="B82" s="94"/>
      <c r="C82" s="144"/>
      <c r="D82" s="914"/>
      <c r="E82" s="242" t="str">
        <f>Translations!$B$209</f>
        <v>Type of GHG</v>
      </c>
      <c r="F82" s="414"/>
      <c r="G82" s="1371" t="str">
        <f>Translations!$B$402</f>
        <v>Please provide here the type of greenhouse gas (GHG) measured in the flue gas: CO2 or N2O.</v>
      </c>
      <c r="H82" s="1371"/>
      <c r="I82" s="1371"/>
      <c r="J82" s="1371"/>
      <c r="K82" s="1371"/>
      <c r="L82" s="1371"/>
      <c r="M82" s="1371"/>
      <c r="N82" s="1371"/>
      <c r="O82" s="428"/>
      <c r="S82" s="110"/>
    </row>
    <row r="83" spans="1:19" ht="25.5" customHeight="1" x14ac:dyDescent="0.25">
      <c r="A83" s="92"/>
      <c r="B83" s="94"/>
      <c r="C83" s="144"/>
      <c r="D83" s="914"/>
      <c r="E83" s="242" t="str">
        <f>Translations!$B$379</f>
        <v>Further columns greyed out</v>
      </c>
      <c r="F83" s="414"/>
      <c r="G83" s="1371" t="str">
        <f>Translations!$B$2019</f>
        <v>Further columns which are relevant for calculation-based approaches only are greyed out in this table. Please scroll to the right until you reach columns relevant for CEMS.</v>
      </c>
      <c r="H83" s="1371"/>
      <c r="I83" s="1371"/>
      <c r="J83" s="1371"/>
      <c r="K83" s="1371"/>
      <c r="L83" s="1371"/>
      <c r="M83" s="1371"/>
      <c r="N83" s="1371"/>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80"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80"/>
      <c r="I84" s="1380"/>
      <c r="J84" s="1380"/>
      <c r="K84" s="1380"/>
      <c r="L84" s="1380"/>
      <c r="M84" s="1380"/>
      <c r="N84" s="1380"/>
      <c r="O84" s="428"/>
      <c r="S84" s="110"/>
    </row>
    <row r="85" spans="1:19" ht="38.700000000000003" customHeight="1" x14ac:dyDescent="0.25">
      <c r="A85" s="92"/>
      <c r="B85" s="94"/>
      <c r="C85" s="144"/>
      <c r="D85" s="914"/>
      <c r="E85" s="441"/>
      <c r="F85" s="442"/>
      <c r="G85" s="1370"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0"/>
      <c r="I85" s="1370"/>
      <c r="J85" s="1370"/>
      <c r="K85" s="1370"/>
      <c r="L85" s="1370"/>
      <c r="M85" s="1370"/>
      <c r="N85" s="1370"/>
      <c r="O85" s="428"/>
      <c r="S85" s="110"/>
    </row>
    <row r="86" spans="1:19" ht="13.2" customHeight="1" x14ac:dyDescent="0.25">
      <c r="A86" s="92"/>
      <c r="B86" s="94"/>
      <c r="C86" s="144"/>
      <c r="D86" s="914"/>
      <c r="E86" s="415"/>
      <c r="F86" s="416"/>
      <c r="G86" s="1373" t="str">
        <f>Translations!$B$1996</f>
        <v>Due to the way how Excel handles percentage values, only numbers WITHOUT percentage sign ("%") must be entered.</v>
      </c>
      <c r="H86" s="1373"/>
      <c r="I86" s="1373"/>
      <c r="J86" s="1373"/>
      <c r="K86" s="1373"/>
      <c r="L86" s="1373"/>
      <c r="M86" s="1373"/>
      <c r="N86" s="1373"/>
      <c r="O86" s="428"/>
      <c r="S86" s="110"/>
    </row>
    <row r="87" spans="1:19" ht="13.2" customHeight="1" x14ac:dyDescent="0.25">
      <c r="A87" s="92"/>
      <c r="B87" s="94"/>
      <c r="C87" s="144"/>
      <c r="D87" s="914"/>
      <c r="E87" s="242" t="str">
        <f>Translations!$B$147</f>
        <v>BioC Unit</v>
      </c>
      <c r="F87" s="414"/>
      <c r="G87" s="1371" t="str">
        <f>Translations!$B$2001</f>
        <v>The unit of the biomass fraction is always percent (%).</v>
      </c>
      <c r="H87" s="1371"/>
      <c r="I87" s="1371"/>
      <c r="J87" s="1371"/>
      <c r="K87" s="1371"/>
      <c r="L87" s="1371"/>
      <c r="M87" s="1371"/>
      <c r="N87" s="1371"/>
      <c r="O87" s="428"/>
      <c r="S87" s="110"/>
    </row>
    <row r="88" spans="1:19" ht="12.75" customHeight="1" x14ac:dyDescent="0.25">
      <c r="A88" s="92"/>
      <c r="B88" s="94"/>
      <c r="C88" s="144"/>
      <c r="D88" s="914"/>
      <c r="E88" s="242" t="str">
        <f>Translations!$B$150</f>
        <v>hourly GHG conc. Average</v>
      </c>
      <c r="F88" s="414"/>
      <c r="G88" s="1371" t="str">
        <f>Translations!$B$2022</f>
        <v>The weighted average hourly concentration of the GHG measured.</v>
      </c>
      <c r="H88" s="1371"/>
      <c r="I88" s="1371"/>
      <c r="J88" s="1371"/>
      <c r="K88" s="1371"/>
      <c r="L88" s="1371"/>
      <c r="M88" s="1371"/>
      <c r="N88" s="1371"/>
      <c r="O88" s="428"/>
      <c r="S88" s="110"/>
    </row>
    <row r="89" spans="1:19" ht="13.2" customHeight="1" x14ac:dyDescent="0.25">
      <c r="A89" s="92"/>
      <c r="B89" s="94"/>
      <c r="C89" s="144"/>
      <c r="D89" s="914"/>
      <c r="E89" s="242" t="str">
        <f>Translations!$B$151</f>
        <v>hourly GHG conc. Unit</v>
      </c>
      <c r="F89" s="414"/>
      <c r="G89" s="1371" t="str">
        <f>Translations!$B$2023</f>
        <v>The unit in which the hourly average concentration is to be entered in this table. It is always set to g/Nm³.</v>
      </c>
      <c r="H89" s="1371"/>
      <c r="I89" s="1371"/>
      <c r="J89" s="1371"/>
      <c r="K89" s="1371"/>
      <c r="L89" s="1371"/>
      <c r="M89" s="1371"/>
      <c r="N89" s="1371"/>
      <c r="O89" s="428"/>
      <c r="S89" s="110"/>
    </row>
    <row r="90" spans="1:19" ht="12.75" customHeight="1" x14ac:dyDescent="0.25">
      <c r="A90" s="92"/>
      <c r="B90" s="94"/>
      <c r="C90" s="144"/>
      <c r="D90" s="914"/>
      <c r="E90" s="242" t="str">
        <f>Translations!$B$152</f>
        <v>hours operating</v>
      </c>
      <c r="F90" s="414"/>
      <c r="G90" s="1371" t="str">
        <f>Translations!$B$2024</f>
        <v>The total hours of operation of the continuous emission measurement during the reporting period.</v>
      </c>
      <c r="H90" s="1371"/>
      <c r="I90" s="1371"/>
      <c r="J90" s="1371"/>
      <c r="K90" s="1371"/>
      <c r="L90" s="1371"/>
      <c r="M90" s="1371"/>
      <c r="N90" s="1371"/>
      <c r="O90" s="428"/>
      <c r="S90" s="110"/>
    </row>
    <row r="91" spans="1:19" ht="13.2" customHeight="1" x14ac:dyDescent="0.25">
      <c r="A91" s="92"/>
      <c r="B91" s="94"/>
      <c r="C91" s="144"/>
      <c r="D91" s="914"/>
      <c r="E91" s="242" t="str">
        <f>Translations!$B$153</f>
        <v>hours operating Unit</v>
      </c>
      <c r="F91" s="414"/>
      <c r="G91" s="1371" t="str">
        <f>Translations!$B$2025</f>
        <v>The unit in which the operating hours are to be entered in this table. It is always set to h/period.</v>
      </c>
      <c r="H91" s="1371"/>
      <c r="I91" s="1371"/>
      <c r="J91" s="1371"/>
      <c r="K91" s="1371"/>
      <c r="L91" s="1371"/>
      <c r="M91" s="1371"/>
      <c r="N91" s="1371"/>
      <c r="O91" s="428"/>
      <c r="S91" s="110"/>
    </row>
    <row r="92" spans="1:19" ht="12.75" customHeight="1" x14ac:dyDescent="0.25">
      <c r="A92" s="92"/>
      <c r="B92" s="94"/>
      <c r="C92" s="144"/>
      <c r="D92" s="914"/>
      <c r="E92" s="242" t="str">
        <f>Translations!$B$1959</f>
        <v>Flue gas flow (average)</v>
      </c>
      <c r="F92" s="414"/>
      <c r="G92" s="1371" t="str">
        <f>Translations!$B$408</f>
        <v>The total volume of the flue gas</v>
      </c>
      <c r="H92" s="1371"/>
      <c r="I92" s="1371"/>
      <c r="J92" s="1371"/>
      <c r="K92" s="1371"/>
      <c r="L92" s="1371"/>
      <c r="M92" s="1371"/>
      <c r="N92" s="1371"/>
      <c r="O92" s="428"/>
      <c r="S92" s="110"/>
    </row>
    <row r="93" spans="1:19" ht="25.2" customHeight="1" x14ac:dyDescent="0.25">
      <c r="A93" s="92"/>
      <c r="B93" s="94"/>
      <c r="C93" s="144"/>
      <c r="D93" s="914"/>
      <c r="E93" s="242" t="str">
        <f>Translations!$B$1960</f>
        <v>Flue gas flow (average), Unit</v>
      </c>
      <c r="F93" s="414"/>
      <c r="G93" s="1371" t="str">
        <f>Translations!$B$2026</f>
        <v>The unit in which the flue gas flow is to be entered in this table. It is always set to 1000Nm3/h.</v>
      </c>
      <c r="H93" s="1371"/>
      <c r="I93" s="1371"/>
      <c r="J93" s="1371"/>
      <c r="K93" s="1371"/>
      <c r="L93" s="1371"/>
      <c r="M93" s="1371"/>
      <c r="N93" s="1371"/>
      <c r="O93" s="428"/>
      <c r="S93" s="110"/>
    </row>
    <row r="94" spans="1:19" ht="13.2" customHeight="1" x14ac:dyDescent="0.25">
      <c r="A94" s="92"/>
      <c r="B94" s="94"/>
      <c r="C94" s="144"/>
      <c r="D94" s="914"/>
      <c r="E94" s="242" t="str">
        <f>Translations!$B$158</f>
        <v>Annual amount of GHG</v>
      </c>
      <c r="F94" s="414"/>
      <c r="G94" s="1371" t="str">
        <f>Translations!$B$2027</f>
        <v>The total quantity (mass) of the GHG monitored using CEMS in the reporting period.</v>
      </c>
      <c r="H94" s="1371"/>
      <c r="I94" s="1371"/>
      <c r="J94" s="1371"/>
      <c r="K94" s="1371"/>
      <c r="L94" s="1371"/>
      <c r="M94" s="1371"/>
      <c r="N94" s="1371"/>
      <c r="O94" s="428"/>
      <c r="S94" s="110"/>
    </row>
    <row r="95" spans="1:19" ht="26.4" customHeight="1" x14ac:dyDescent="0.25">
      <c r="A95" s="92"/>
      <c r="B95" s="94"/>
      <c r="C95" s="144"/>
      <c r="D95" s="914"/>
      <c r="E95" s="242" t="str">
        <f>Translations!$B$159</f>
        <v>Annual amount of GHG Unit</v>
      </c>
      <c r="F95" s="414"/>
      <c r="G95" s="1371" t="str">
        <f>Translations!$B$2028</f>
        <v>The unit in which the mass of GHG emitted is calculated in this table. It is always set to tonnes.</v>
      </c>
      <c r="H95" s="1371"/>
      <c r="I95" s="1371"/>
      <c r="J95" s="1371"/>
      <c r="K95" s="1371"/>
      <c r="L95" s="1371"/>
      <c r="M95" s="1371"/>
      <c r="N95" s="1371"/>
      <c r="O95" s="428"/>
      <c r="S95" s="110"/>
    </row>
    <row r="96" spans="1:19" ht="13.2" customHeight="1" x14ac:dyDescent="0.25">
      <c r="A96" s="92"/>
      <c r="B96" s="94"/>
      <c r="C96" s="144"/>
      <c r="D96" s="914"/>
      <c r="E96" s="242" t="str">
        <f>Translations!$B$1961</f>
        <v>GWP (tCO2e/t)</v>
      </c>
      <c r="F96" s="414"/>
      <c r="G96" s="1371" t="str">
        <f>Translations!$B$2029</f>
        <v>The GWP (global warming potential) of the GHG monitored.</v>
      </c>
      <c r="H96" s="1371"/>
      <c r="I96" s="1371"/>
      <c r="J96" s="1371"/>
      <c r="K96" s="1371"/>
      <c r="L96" s="1371"/>
      <c r="M96" s="1371"/>
      <c r="N96" s="1371"/>
      <c r="O96" s="428"/>
      <c r="S96" s="110"/>
    </row>
    <row r="97" spans="1:23" ht="25.95" customHeight="1" x14ac:dyDescent="0.25">
      <c r="A97" s="92"/>
      <c r="B97" s="94"/>
      <c r="C97" s="144"/>
      <c r="D97" s="914"/>
      <c r="E97" s="242" t="str">
        <f>Translations!$B$409</f>
        <v>Energy content</v>
      </c>
      <c r="F97" s="414"/>
      <c r="G97" s="1371" t="str">
        <f>Translations!$B$2030</f>
        <v>The energy content of the fuels or materials entering the production process during the reporting period. In case of CEMS this cannot be automatically determined but needs to be input by the user.</v>
      </c>
      <c r="H97" s="1371"/>
      <c r="I97" s="1371"/>
      <c r="J97" s="1371"/>
      <c r="K97" s="1371"/>
      <c r="L97" s="1371"/>
      <c r="M97" s="1371"/>
      <c r="N97" s="1371"/>
      <c r="O97" s="428"/>
      <c r="S97" s="110"/>
    </row>
    <row r="98" spans="1:23" ht="26.4" customHeight="1" x14ac:dyDescent="0.25">
      <c r="A98" s="92"/>
      <c r="B98" s="94"/>
      <c r="C98" s="144"/>
      <c r="D98" s="914"/>
      <c r="E98" s="799" t="str">
        <f>Translations!$B$2031</f>
        <v>Emissions (tCO2e)</v>
      </c>
      <c r="F98" s="800"/>
      <c r="G98" s="1374" t="str">
        <f>Translations!$B$2004</f>
        <v>The fossil emissions are the necessary basis for determining the embedded emissions of CBAM goods. The results are automatically transferred into sheet C_Emissions&amp;Energy.</v>
      </c>
      <c r="H98" s="1375"/>
      <c r="I98" s="1375"/>
      <c r="J98" s="1375"/>
      <c r="K98" s="1375"/>
      <c r="L98" s="1375"/>
      <c r="M98" s="1375"/>
      <c r="N98" s="1375"/>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77" t="str">
        <f ca="1">HYPERLINK("#"&amp;S100,CONST_LinkFromGuidance)</f>
        <v>Please click on this link if you want to go back to the relevant section for data entry.</v>
      </c>
      <c r="F100" s="1377"/>
      <c r="G100" s="1377"/>
      <c r="H100" s="1377"/>
      <c r="I100" s="1377"/>
      <c r="J100" s="1377"/>
      <c r="K100" s="1377"/>
      <c r="L100" s="1377"/>
      <c r="M100" s="1377"/>
      <c r="N100" s="1377"/>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47"/>
      <c r="F104" s="1348"/>
      <c r="G104" s="1348"/>
      <c r="H104" s="1348"/>
      <c r="I104" s="1348"/>
      <c r="J104" s="1348"/>
      <c r="K104" s="1348"/>
      <c r="L104" s="1348"/>
      <c r="M104" s="1348"/>
      <c r="N104" s="1348"/>
      <c r="O104" s="428"/>
    </row>
    <row r="105" spans="1:23" ht="25.5" customHeight="1" x14ac:dyDescent="0.25">
      <c r="A105" s="92"/>
      <c r="B105" s="94"/>
      <c r="C105" s="948"/>
      <c r="D105" s="950"/>
      <c r="E105" s="1385" t="str">
        <f>Translations!$B$2032</f>
        <v>In sheet "D_Processes" the required data inputs are necessary to calculate the emissions attributed to each production process, based on which the specific embedded emissions of the goods category are calculated in this template.</v>
      </c>
      <c r="F105" s="1385"/>
      <c r="G105" s="1385"/>
      <c r="H105" s="1385"/>
      <c r="I105" s="1385"/>
      <c r="J105" s="1385"/>
      <c r="K105" s="1385"/>
      <c r="L105" s="1385"/>
      <c r="M105" s="1385"/>
      <c r="N105" s="1385"/>
      <c r="O105" s="428"/>
    </row>
    <row r="106" spans="1:23" ht="5.0999999999999996" customHeight="1" x14ac:dyDescent="0.25">
      <c r="A106" s="92"/>
      <c r="B106" s="94"/>
      <c r="C106" s="948"/>
      <c r="D106" s="951"/>
      <c r="E106" s="1385"/>
      <c r="F106" s="1385"/>
      <c r="G106" s="1385"/>
      <c r="H106" s="1385"/>
      <c r="I106" s="1385"/>
      <c r="J106" s="1385"/>
      <c r="K106" s="1385"/>
      <c r="L106" s="1385"/>
      <c r="M106" s="1385"/>
      <c r="N106" s="1385"/>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77" t="str">
        <f ca="1">HYPERLINK("#"&amp;S108,CONST_LinkFromGuidance)</f>
        <v>Please click on this link if you want to go back to the relevant section for data entry.</v>
      </c>
      <c r="F108" s="1377"/>
      <c r="G108" s="1377"/>
      <c r="H108" s="1377"/>
      <c r="I108" s="1377"/>
      <c r="J108" s="1377"/>
      <c r="K108" s="1377"/>
      <c r="L108" s="1377"/>
      <c r="M108" s="1377"/>
      <c r="N108" s="1377"/>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6" t="str">
        <f>Translations!$B$2033</f>
        <v>General information on each production process</v>
      </c>
      <c r="F110" s="1396"/>
      <c r="G110" s="1396"/>
      <c r="H110" s="1396"/>
      <c r="I110" s="1396"/>
      <c r="J110" s="1396"/>
      <c r="K110" s="1396"/>
      <c r="L110" s="1396"/>
      <c r="M110" s="1396"/>
      <c r="N110" s="1396"/>
      <c r="O110" s="428"/>
      <c r="S110" s="110"/>
    </row>
    <row r="111" spans="1:23" ht="25.5" customHeight="1" x14ac:dyDescent="0.25">
      <c r="A111" s="92"/>
      <c r="B111" s="94"/>
      <c r="C111" s="144"/>
      <c r="D111" s="914"/>
      <c r="E111" s="137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7"/>
      <c r="G111" s="1397"/>
      <c r="H111" s="1397"/>
      <c r="I111" s="1397"/>
      <c r="J111" s="1397"/>
      <c r="K111" s="1397"/>
      <c r="L111" s="1397"/>
      <c r="M111" s="1397"/>
      <c r="N111" s="1397"/>
      <c r="O111" s="428"/>
      <c r="S111" s="110"/>
    </row>
    <row r="112" spans="1:23" ht="25.5" customHeight="1" x14ac:dyDescent="0.25">
      <c r="A112" s="92"/>
      <c r="B112" s="94"/>
      <c r="C112" s="144"/>
      <c r="D112" s="966" t="s">
        <v>2870</v>
      </c>
      <c r="E112" s="519" t="str">
        <f>Translations!$B$415</f>
        <v>Total production</v>
      </c>
      <c r="F112" s="810" t="str">
        <f>Translations!$B$416</f>
        <v>SEE Denominator</v>
      </c>
      <c r="G112" s="1379" t="str">
        <f>Translations!$B$417</f>
        <v>Please provide here the total amount of goods produced in the relevant production process, distinguishing amounts by the relevant production route. This is the denominator for the calculation of the specific embedded emissions.</v>
      </c>
      <c r="H112" s="1379"/>
      <c r="I112" s="1379"/>
      <c r="J112" s="1379"/>
      <c r="K112" s="1379"/>
      <c r="L112" s="1379"/>
      <c r="M112" s="1379"/>
      <c r="N112" s="1379"/>
      <c r="O112" s="428"/>
      <c r="S112" s="110"/>
    </row>
    <row r="113" spans="1:19" ht="25.5" customHeight="1" x14ac:dyDescent="0.25">
      <c r="A113" s="92"/>
      <c r="B113" s="94"/>
      <c r="C113" s="144"/>
      <c r="D113" s="966"/>
      <c r="E113" s="441"/>
      <c r="F113" s="895"/>
      <c r="G113" s="1370" t="str">
        <f>Translations!$B$2035</f>
        <v>Note: According to the current text of Section A.4, point (b) of Annex III of the Implementing act, separate production processes must be defined where separate production routes are used for the same aggregated goods category.</v>
      </c>
      <c r="H113" s="1370"/>
      <c r="I113" s="1370"/>
      <c r="J113" s="1370"/>
      <c r="K113" s="1370"/>
      <c r="L113" s="1370"/>
      <c r="M113" s="1370"/>
      <c r="N113" s="1370"/>
      <c r="O113" s="428"/>
      <c r="S113" s="110"/>
    </row>
    <row r="114" spans="1:19" ht="26.4" customHeight="1" x14ac:dyDescent="0.25">
      <c r="A114" s="92"/>
      <c r="B114" s="94"/>
      <c r="C114" s="144"/>
      <c r="D114" s="966"/>
      <c r="E114" s="441"/>
      <c r="F114" s="416"/>
      <c r="G114" s="1373"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73"/>
      <c r="I114" s="1373"/>
      <c r="J114" s="1373"/>
      <c r="K114" s="1373"/>
      <c r="L114" s="1373"/>
      <c r="M114" s="1373"/>
      <c r="N114" s="1373"/>
      <c r="O114" s="428"/>
      <c r="S114" s="110"/>
    </row>
    <row r="115" spans="1:19" ht="25.5" customHeight="1" x14ac:dyDescent="0.25">
      <c r="A115" s="92"/>
      <c r="B115" s="94"/>
      <c r="C115" s="144"/>
      <c r="D115" s="966" t="s">
        <v>2871</v>
      </c>
      <c r="E115" s="413" t="str">
        <f>Translations!$B$419</f>
        <v>Production for the market</v>
      </c>
      <c r="F115" s="417"/>
      <c r="G115" s="1380" t="str">
        <f>Translations!$B$420</f>
        <v>Please provide here the total amount of goods that are placed on the market (any market, not only the European Union) and not further processed into goods within another production process of the installation.</v>
      </c>
      <c r="H115" s="1380"/>
      <c r="I115" s="1380"/>
      <c r="J115" s="1380"/>
      <c r="K115" s="1380"/>
      <c r="L115" s="1380"/>
      <c r="M115" s="1380"/>
      <c r="N115" s="1380"/>
      <c r="O115" s="428"/>
      <c r="S115" s="110"/>
    </row>
    <row r="116" spans="1:19" ht="26.4" customHeight="1" x14ac:dyDescent="0.25">
      <c r="A116" s="92"/>
      <c r="B116" s="94"/>
      <c r="C116" s="144"/>
      <c r="D116" s="966"/>
      <c r="E116" s="441"/>
      <c r="F116" s="416"/>
      <c r="G116" s="1373" t="str">
        <f>Translations!$B$2037</f>
        <v>Under point ii. the share put on the market is displayed for control purposes. Furthermore point iii. tells you if this is the complete amount (100%) of product. If it is 100%, the next section (consumed within the installation) is not relevant.</v>
      </c>
      <c r="H116" s="1373"/>
      <c r="I116" s="1373"/>
      <c r="J116" s="1373"/>
      <c r="K116" s="1373"/>
      <c r="L116" s="1373"/>
      <c r="M116" s="1373"/>
      <c r="N116" s="1373"/>
      <c r="O116" s="428"/>
      <c r="S116" s="110"/>
    </row>
    <row r="117" spans="1:19" ht="51" customHeight="1" x14ac:dyDescent="0.25">
      <c r="A117" s="92"/>
      <c r="B117" s="94"/>
      <c r="C117" s="144"/>
      <c r="D117" s="966" t="s">
        <v>2872</v>
      </c>
      <c r="E117" s="413" t="str">
        <f>Translations!$B$422</f>
        <v>Consumed in other 'production processes'</v>
      </c>
      <c r="F117" s="414"/>
      <c r="G117" s="1371"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1"/>
      <c r="I117" s="1371"/>
      <c r="J117" s="1371"/>
      <c r="K117" s="1371"/>
      <c r="L117" s="1371"/>
      <c r="M117" s="1371"/>
      <c r="N117" s="1371"/>
      <c r="O117" s="428"/>
      <c r="S117" s="110"/>
    </row>
    <row r="118" spans="1:19" ht="25.5" customHeight="1" x14ac:dyDescent="0.25">
      <c r="A118" s="92"/>
      <c r="B118" s="94"/>
      <c r="C118" s="144"/>
      <c r="D118" s="966" t="s">
        <v>2873</v>
      </c>
      <c r="E118" s="413" t="str">
        <f>Translations!$B$425</f>
        <v>Consumed for non-CBAM goods</v>
      </c>
      <c r="F118" s="417"/>
      <c r="G118" s="1380" t="str">
        <f>Translations!$B$2039</f>
        <v>Please provide here the total amount of goods that are consumed in production processes within the installation which produce goods that are not covered by the scope of the CBAM. Do not leave empty, but enter 0 if applicable.</v>
      </c>
      <c r="H118" s="1380"/>
      <c r="I118" s="1380"/>
      <c r="J118" s="1380"/>
      <c r="K118" s="1380"/>
      <c r="L118" s="1380"/>
      <c r="M118" s="1380"/>
      <c r="N118" s="1380"/>
      <c r="O118" s="428"/>
      <c r="S118" s="110"/>
    </row>
    <row r="119" spans="1:19" ht="12.75" customHeight="1" x14ac:dyDescent="0.25">
      <c r="A119" s="92"/>
      <c r="B119" s="94"/>
      <c r="C119" s="144"/>
      <c r="D119" s="966" t="s">
        <v>2874</v>
      </c>
      <c r="E119" s="413" t="str">
        <f>Translations!$B$428</f>
        <v>Control</v>
      </c>
      <c r="F119" s="414"/>
      <c r="G119" s="1371" t="str">
        <f>Translations!$B$429</f>
        <v>This is an automatic calculation "a-(b+c+d)". Please ensure that this value is zero.</v>
      </c>
      <c r="H119" s="1371"/>
      <c r="I119" s="1371"/>
      <c r="J119" s="1371"/>
      <c r="K119" s="1371"/>
      <c r="L119" s="1371"/>
      <c r="M119" s="1371"/>
      <c r="N119" s="1371"/>
      <c r="O119" s="428"/>
      <c r="S119" s="110"/>
    </row>
    <row r="120" spans="1:19" ht="25.5" customHeight="1" x14ac:dyDescent="0.25">
      <c r="A120" s="92"/>
      <c r="B120" s="94"/>
      <c r="C120" s="144"/>
      <c r="D120" s="914"/>
      <c r="E120" s="1383" t="str">
        <f>Translations!$B$254</f>
        <v>Calculation of the attributed emissions:</v>
      </c>
      <c r="F120" s="1383"/>
      <c r="G120" s="1383"/>
      <c r="H120" s="1383"/>
      <c r="I120" s="1383"/>
      <c r="J120" s="1383"/>
      <c r="K120" s="1383"/>
      <c r="L120" s="1383"/>
      <c r="M120" s="1383"/>
      <c r="N120" s="1383"/>
      <c r="O120" s="428"/>
      <c r="S120" s="110"/>
    </row>
    <row r="121" spans="1:19" ht="25.5" customHeight="1" x14ac:dyDescent="0.25">
      <c r="A121" s="92"/>
      <c r="B121" s="94"/>
      <c r="C121" s="144"/>
      <c r="D121" s="914"/>
      <c r="E121" s="1371" t="str">
        <f>Translations!$B$2040</f>
        <v>This block is used for entering parameters necessary to calculate attributed emissions of the production process in accordance with the Implementing Act, Annex III section F.1.</v>
      </c>
      <c r="F121" s="1372"/>
      <c r="G121" s="1372"/>
      <c r="H121" s="1372"/>
      <c r="I121" s="1372"/>
      <c r="J121" s="1372"/>
      <c r="K121" s="1372"/>
      <c r="L121" s="1372"/>
      <c r="M121" s="1372"/>
      <c r="N121" s="1372"/>
      <c r="O121" s="428"/>
      <c r="S121" s="110"/>
    </row>
    <row r="122" spans="1:19" ht="25.5" customHeight="1" x14ac:dyDescent="0.25">
      <c r="A122" s="92"/>
      <c r="B122" s="94"/>
      <c r="C122" s="144"/>
      <c r="D122" s="966" t="str">
        <f>Translations!$B$430</f>
        <v>f)</v>
      </c>
      <c r="E122" s="1380" t="str">
        <f>Translations!$B$431</f>
        <v>Applicable elements</v>
      </c>
      <c r="F122" s="417"/>
      <c r="G122" s="1380" t="str">
        <f>Translations!$B$432</f>
        <v>Please select here whether measurable heat (e.g. steam) or waste gases are imported to or exported from the relevant production process. The relevance of indirect emissions from electricity are shown automatically here.</v>
      </c>
      <c r="H122" s="1380"/>
      <c r="I122" s="1380"/>
      <c r="J122" s="1380"/>
      <c r="K122" s="1380"/>
      <c r="L122" s="1380"/>
      <c r="M122" s="1380"/>
      <c r="N122" s="1380"/>
      <c r="O122" s="428"/>
      <c r="S122" s="110"/>
    </row>
    <row r="123" spans="1:19" ht="38.25" customHeight="1" x14ac:dyDescent="0.25">
      <c r="A123" s="92"/>
      <c r="B123" s="94"/>
      <c r="C123" s="144"/>
      <c r="D123" s="966"/>
      <c r="E123" s="1373"/>
      <c r="F123" s="416"/>
      <c r="G123" s="1373"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73"/>
      <c r="I123" s="1373"/>
      <c r="J123" s="1373"/>
      <c r="K123" s="1373"/>
      <c r="L123" s="1373"/>
      <c r="M123" s="1373"/>
      <c r="N123" s="1373"/>
      <c r="O123" s="428"/>
      <c r="S123" s="110"/>
    </row>
    <row r="124" spans="1:19" ht="25.5" customHeight="1" x14ac:dyDescent="0.25">
      <c r="A124" s="92"/>
      <c r="B124" s="94"/>
      <c r="C124" s="144"/>
      <c r="D124" s="966" t="str">
        <f>Translations!$B$434</f>
        <v>g)</v>
      </c>
      <c r="E124" s="413" t="str">
        <f>Translations!$B$435</f>
        <v>DirEm*</v>
      </c>
      <c r="F124" s="605"/>
      <c r="G124" s="1371"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1"/>
      <c r="I124" s="1371"/>
      <c r="J124" s="1371"/>
      <c r="K124" s="1371"/>
      <c r="L124" s="1371"/>
      <c r="M124" s="1371"/>
      <c r="N124" s="1371"/>
      <c r="O124" s="428"/>
      <c r="S124" s="110"/>
    </row>
    <row r="125" spans="1:19" ht="38.25" customHeight="1" x14ac:dyDescent="0.25">
      <c r="A125" s="92"/>
      <c r="B125" s="94"/>
      <c r="C125" s="144"/>
      <c r="D125" s="966"/>
      <c r="E125" s="441"/>
      <c r="F125" s="1392" t="str">
        <f>Translations!$B$437</f>
        <v>Avoidance of double counting</v>
      </c>
      <c r="G125" s="1371"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1"/>
      <c r="I125" s="1371"/>
      <c r="J125" s="1371"/>
      <c r="K125" s="1371"/>
      <c r="L125" s="1371"/>
      <c r="M125" s="1371"/>
      <c r="N125" s="1371"/>
      <c r="O125" s="428"/>
      <c r="S125" s="110"/>
    </row>
    <row r="126" spans="1:19" ht="25.2" customHeight="1" x14ac:dyDescent="0.25">
      <c r="A126" s="92"/>
      <c r="B126" s="94"/>
      <c r="C126" s="144"/>
      <c r="D126" s="966"/>
      <c r="E126" s="441"/>
      <c r="F126" s="1392"/>
      <c r="G126" s="1371" t="str">
        <f>Translations!$B$2044</f>
        <v>Measureable heat (e.g. steam): Emissions associated with fuel input into boilers can be either included here as DirEm* or via the 'import of measurable heat' below, but must not be reported twice.</v>
      </c>
      <c r="H126" s="1371"/>
      <c r="I126" s="1371"/>
      <c r="J126" s="1371"/>
      <c r="K126" s="1371"/>
      <c r="L126" s="1371"/>
      <c r="M126" s="1371"/>
      <c r="N126" s="1371"/>
      <c r="O126" s="428"/>
      <c r="S126" s="110"/>
    </row>
    <row r="127" spans="1:19" ht="38.25" customHeight="1" x14ac:dyDescent="0.25">
      <c r="A127" s="92"/>
      <c r="B127" s="94"/>
      <c r="C127" s="144"/>
      <c r="D127" s="966"/>
      <c r="E127" s="441"/>
      <c r="F127" s="1392"/>
      <c r="G127" s="1371"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1"/>
      <c r="I127" s="1371"/>
      <c r="J127" s="1371"/>
      <c r="K127" s="1371"/>
      <c r="L127" s="1371"/>
      <c r="M127" s="1371"/>
      <c r="N127" s="1371"/>
      <c r="O127" s="428"/>
      <c r="S127" s="110"/>
    </row>
    <row r="128" spans="1:19" ht="12.75" customHeight="1" x14ac:dyDescent="0.3">
      <c r="A128" s="92"/>
      <c r="B128" s="94"/>
      <c r="C128" s="144"/>
      <c r="D128" s="967"/>
      <c r="E128" s="491"/>
      <c r="F128" s="1392"/>
      <c r="G128" s="1391" t="str">
        <f ca="1">HYPERLINK("#"&amp;ADDRESS(MATCH($S128,F_Tools!$S:$S,0),3,,,F_Tools!$U$2),CONST_LinkToCHPTool)</f>
        <v>Please click on this link to go to the "CHP Tool for attributing emissions between heat and electricity".</v>
      </c>
      <c r="H128" s="1373"/>
      <c r="I128" s="1373"/>
      <c r="J128" s="1373"/>
      <c r="K128" s="1373"/>
      <c r="L128" s="1373"/>
      <c r="M128" s="1373"/>
      <c r="N128" s="1373"/>
      <c r="O128" s="428"/>
      <c r="R128" s="104" t="s">
        <v>4016</v>
      </c>
      <c r="S128" s="105">
        <v>1</v>
      </c>
    </row>
    <row r="129" spans="1:19" ht="25.5" customHeight="1" x14ac:dyDescent="0.25">
      <c r="A129" s="92"/>
      <c r="B129" s="94"/>
      <c r="C129" s="144"/>
      <c r="D129" s="966"/>
      <c r="E129" s="441"/>
      <c r="F129" s="1392"/>
      <c r="G129" s="1371" t="str">
        <f>Translations!$B$440</f>
        <v>Waste gases: special rules apply here. Emissions from waste gases produced in another production process and consumed in this process should NOT be reported under DirEm*, but under 'Waste gas imported' below.</v>
      </c>
      <c r="H129" s="1371"/>
      <c r="I129" s="1371"/>
      <c r="J129" s="1371"/>
      <c r="K129" s="1371"/>
      <c r="L129" s="1371"/>
      <c r="M129" s="1371"/>
      <c r="N129" s="1371"/>
      <c r="O129" s="428"/>
      <c r="S129" s="110"/>
    </row>
    <row r="130" spans="1:19" ht="63.75" customHeight="1" x14ac:dyDescent="0.25">
      <c r="A130" s="92"/>
      <c r="B130" s="94"/>
      <c r="C130" s="144"/>
      <c r="D130" s="966"/>
      <c r="E130" s="415"/>
      <c r="F130" s="1393"/>
      <c r="G130" s="1371"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1"/>
      <c r="I130" s="1371"/>
      <c r="J130" s="1371"/>
      <c r="K130" s="1371"/>
      <c r="L130" s="1371"/>
      <c r="M130" s="1371"/>
      <c r="N130" s="1371"/>
      <c r="O130" s="428"/>
      <c r="S130" s="110"/>
    </row>
    <row r="131" spans="1:19" ht="38.25" customHeight="1" x14ac:dyDescent="0.25">
      <c r="A131" s="92"/>
      <c r="B131" s="94"/>
      <c r="C131" s="144"/>
      <c r="D131" s="966" t="str">
        <f>Translations!$B$442</f>
        <v>h)</v>
      </c>
      <c r="E131" s="1380" t="str">
        <f>Translations!$B$262</f>
        <v>Import and export of measurable heat</v>
      </c>
      <c r="F131" s="417"/>
      <c r="G131" s="1371"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1"/>
      <c r="I131" s="1371"/>
      <c r="J131" s="1371"/>
      <c r="K131" s="1371"/>
      <c r="L131" s="1371"/>
      <c r="M131" s="1371"/>
      <c r="N131" s="1371"/>
      <c r="O131" s="428"/>
      <c r="S131" s="110"/>
    </row>
    <row r="132" spans="1:19" ht="38.700000000000003" customHeight="1" x14ac:dyDescent="0.25">
      <c r="A132" s="92"/>
      <c r="B132" s="94"/>
      <c r="C132" s="144"/>
      <c r="D132" s="966"/>
      <c r="E132" s="1370"/>
      <c r="F132" s="442"/>
      <c r="G132" s="1371"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1"/>
      <c r="I132" s="1371"/>
      <c r="J132" s="1371"/>
      <c r="K132" s="1371"/>
      <c r="L132" s="1371"/>
      <c r="M132" s="1371"/>
      <c r="N132" s="1371"/>
      <c r="O132" s="428"/>
      <c r="S132" s="110"/>
    </row>
    <row r="133" spans="1:19" ht="12.75" customHeight="1" x14ac:dyDescent="0.25">
      <c r="A133" s="92"/>
      <c r="B133" s="94"/>
      <c r="C133" s="144"/>
      <c r="D133" s="966"/>
      <c r="E133" s="1370"/>
      <c r="F133" s="442"/>
      <c r="G133" s="1371" t="str">
        <f>Translations!$B$445</f>
        <v>For the EF of heat produced in a CHP, please see the reference to the "CHP Tool" above.</v>
      </c>
      <c r="H133" s="1371"/>
      <c r="I133" s="1371"/>
      <c r="J133" s="1371"/>
      <c r="K133" s="1371"/>
      <c r="L133" s="1371"/>
      <c r="M133" s="1371"/>
      <c r="N133" s="1371"/>
      <c r="O133" s="428"/>
      <c r="S133" s="110"/>
    </row>
    <row r="134" spans="1:19" ht="38.25" customHeight="1" x14ac:dyDescent="0.25">
      <c r="A134" s="92"/>
      <c r="B134" s="94"/>
      <c r="C134" s="144"/>
      <c r="D134" s="966"/>
      <c r="E134" s="1370"/>
      <c r="F134" s="442"/>
      <c r="G134" s="1371"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1"/>
      <c r="I134" s="1371"/>
      <c r="J134" s="1371"/>
      <c r="K134" s="1371"/>
      <c r="L134" s="1371"/>
      <c r="M134" s="1371"/>
      <c r="N134" s="1371"/>
      <c r="O134" s="428"/>
      <c r="S134" s="110"/>
    </row>
    <row r="135" spans="1:19" ht="12.75" customHeight="1" x14ac:dyDescent="0.25">
      <c r="A135" s="92"/>
      <c r="B135" s="94"/>
      <c r="C135" s="144"/>
      <c r="D135" s="966"/>
      <c r="E135" s="1373"/>
      <c r="F135" s="416"/>
      <c r="G135" s="1371" t="str">
        <f>Translations!$B$447</f>
        <v>Heat recovered and NOT exported but used within the production process shall not be reported under exported heat.</v>
      </c>
      <c r="H135" s="1371"/>
      <c r="I135" s="1371"/>
      <c r="J135" s="1371"/>
      <c r="K135" s="1371"/>
      <c r="L135" s="1371"/>
      <c r="M135" s="1371"/>
      <c r="N135" s="1371"/>
      <c r="O135" s="428"/>
      <c r="S135" s="110"/>
    </row>
    <row r="136" spans="1:19" ht="38.25" customHeight="1" x14ac:dyDescent="0.25">
      <c r="A136" s="92"/>
      <c r="B136" s="94"/>
      <c r="C136" s="144"/>
      <c r="D136" s="966" t="str">
        <f>Translations!$B$448</f>
        <v>i)</v>
      </c>
      <c r="E136" s="1380" t="str">
        <f>Translations!$B$449</f>
        <v>Import and export of waste gases</v>
      </c>
      <c r="F136" s="417"/>
      <c r="G136" s="1371"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1"/>
      <c r="I136" s="1371"/>
      <c r="J136" s="1371"/>
      <c r="K136" s="1371"/>
      <c r="L136" s="1371"/>
      <c r="M136" s="1371"/>
      <c r="N136" s="1371"/>
      <c r="O136" s="428"/>
      <c r="S136" s="110"/>
    </row>
    <row r="137" spans="1:19" ht="25.5" customHeight="1" x14ac:dyDescent="0.25">
      <c r="A137" s="92"/>
      <c r="B137" s="94"/>
      <c r="C137" s="144"/>
      <c r="D137" s="966"/>
      <c r="E137" s="1373"/>
      <c r="F137" s="416"/>
      <c r="G137" s="1371" t="str">
        <f>Translations!$B$2050</f>
        <v>The emission factor of the waste gases will not impact the emissions attributed to this production process, due to the special rules for waste gases. Their input here is therefore optional.</v>
      </c>
      <c r="H137" s="1371"/>
      <c r="I137" s="1371"/>
      <c r="J137" s="1371"/>
      <c r="K137" s="1371"/>
      <c r="L137" s="1371"/>
      <c r="M137" s="1371"/>
      <c r="N137" s="1371"/>
      <c r="O137" s="428"/>
      <c r="S137" s="110"/>
    </row>
    <row r="138" spans="1:19" ht="12.75" customHeight="1" x14ac:dyDescent="0.25">
      <c r="A138" s="92"/>
      <c r="B138" s="94"/>
      <c r="C138" s="144"/>
      <c r="D138" s="966" t="str">
        <f>Translations!$B$452</f>
        <v>j)</v>
      </c>
      <c r="E138" s="1380" t="str">
        <f>Translations!$B$269</f>
        <v>Indirect emissions from electricity consumption</v>
      </c>
      <c r="F138" s="417"/>
      <c r="G138" s="1371" t="str">
        <f>Translations!$B$453</f>
        <v>Please enter the total amount of electricity consumed within the system boundaries of the production process.</v>
      </c>
      <c r="H138" s="1371"/>
      <c r="I138" s="1371"/>
      <c r="J138" s="1371"/>
      <c r="K138" s="1371"/>
      <c r="L138" s="1371"/>
      <c r="M138" s="1371"/>
      <c r="N138" s="1371"/>
      <c r="O138" s="428"/>
      <c r="S138" s="110"/>
    </row>
    <row r="139" spans="1:19" ht="25.5" customHeight="1" x14ac:dyDescent="0.25">
      <c r="A139" s="92"/>
      <c r="B139" s="94"/>
      <c r="C139" s="144"/>
      <c r="D139" s="966"/>
      <c r="E139" s="1370"/>
      <c r="F139" s="442"/>
      <c r="G139" s="1371" t="str">
        <f>Translations!$B$2051</f>
        <v>Please enter the weighted average emission factor of the electricity consumed using one of the methods for determination of this factor listed below (referencing the applicable section in Annex III of the Implementing Act).</v>
      </c>
      <c r="H139" s="1371"/>
      <c r="I139" s="1371"/>
      <c r="J139" s="1371"/>
      <c r="K139" s="1371"/>
      <c r="L139" s="1371"/>
      <c r="M139" s="1371"/>
      <c r="N139" s="1371"/>
      <c r="O139" s="428"/>
      <c r="S139" s="110"/>
    </row>
    <row r="140" spans="1:19" ht="12.75" customHeight="1" x14ac:dyDescent="0.25">
      <c r="A140" s="92"/>
      <c r="B140" s="94"/>
      <c r="C140" s="144"/>
      <c r="D140" s="966"/>
      <c r="E140" s="1370"/>
      <c r="F140" s="416"/>
      <c r="G140" s="1371" t="str">
        <f>Translations!$B$2052</f>
        <v>The EF of the electricity can be determined by the following methods:</v>
      </c>
      <c r="H140" s="1371"/>
      <c r="I140" s="1371"/>
      <c r="J140" s="1371"/>
      <c r="K140" s="1371"/>
      <c r="L140" s="1371"/>
      <c r="M140" s="1371"/>
      <c r="N140" s="1371"/>
      <c r="O140" s="428"/>
      <c r="S140" s="110"/>
    </row>
    <row r="141" spans="1:19" ht="12.75" customHeight="1" x14ac:dyDescent="0.25">
      <c r="A141" s="92"/>
      <c r="B141" s="94"/>
      <c r="C141" s="144"/>
      <c r="D141" s="966"/>
      <c r="E141" s="1370"/>
      <c r="F141" s="416" t="s">
        <v>3925</v>
      </c>
      <c r="G141" s="1373" t="str">
        <f>Translations!$B$2053</f>
        <v>EF based on IEA data, provided by the European Commission</v>
      </c>
      <c r="H141" s="1373"/>
      <c r="I141" s="1373"/>
      <c r="J141" s="1373"/>
      <c r="K141" s="1373"/>
      <c r="L141" s="1373"/>
      <c r="M141" s="1373"/>
      <c r="N141" s="1373"/>
      <c r="O141" s="428"/>
      <c r="S141" s="110"/>
    </row>
    <row r="142" spans="1:19" ht="25.95" customHeight="1" x14ac:dyDescent="0.25">
      <c r="A142" s="92"/>
      <c r="B142" s="94"/>
      <c r="C142" s="144"/>
      <c r="D142" s="966"/>
      <c r="E142" s="1370"/>
      <c r="F142" s="414" t="s">
        <v>3926</v>
      </c>
      <c r="G142" s="1371" t="str">
        <f>Translations!$B$2054</f>
        <v>EF based on other publicly available data representing either the average EF or the CO2 emission factor as in section 4.3 of Annex IV of the CBAM Regulation.</v>
      </c>
      <c r="H142" s="1371"/>
      <c r="I142" s="1371"/>
      <c r="J142" s="1371"/>
      <c r="K142" s="1371"/>
      <c r="L142" s="1371"/>
      <c r="M142" s="1371"/>
      <c r="N142" s="1371"/>
      <c r="O142" s="428"/>
      <c r="S142" s="110"/>
    </row>
    <row r="143" spans="1:19" ht="12.75" customHeight="1" x14ac:dyDescent="0.25">
      <c r="A143" s="92"/>
      <c r="B143" s="94"/>
      <c r="C143" s="144"/>
      <c r="D143" s="966"/>
      <c r="E143" s="1370"/>
      <c r="F143" s="414" t="s">
        <v>3927</v>
      </c>
      <c r="G143" s="1371" t="str">
        <f>Translations!$B$2055</f>
        <v>EF of electricity produced in the installation other than by cogeneration</v>
      </c>
      <c r="H143" s="1371"/>
      <c r="I143" s="1371"/>
      <c r="J143" s="1371"/>
      <c r="K143" s="1371"/>
      <c r="L143" s="1371"/>
      <c r="M143" s="1371"/>
      <c r="N143" s="1371"/>
      <c r="O143" s="428"/>
      <c r="S143" s="110"/>
    </row>
    <row r="144" spans="1:19" ht="12.75" customHeight="1" x14ac:dyDescent="0.25">
      <c r="A144" s="92"/>
      <c r="B144" s="94"/>
      <c r="C144" s="144"/>
      <c r="D144" s="966"/>
      <c r="E144" s="1370"/>
      <c r="F144" s="414" t="s">
        <v>3928</v>
      </c>
      <c r="G144" s="1371" t="str">
        <f>Translations!$B$2056</f>
        <v>EF of electricity produced in the installation by cogeneration</v>
      </c>
      <c r="H144" s="1371"/>
      <c r="I144" s="1371"/>
      <c r="J144" s="1371"/>
      <c r="K144" s="1371"/>
      <c r="L144" s="1371"/>
      <c r="M144" s="1371"/>
      <c r="N144" s="1371"/>
      <c r="O144" s="428"/>
      <c r="S144" s="110"/>
    </row>
    <row r="145" spans="1:23" ht="12.75" customHeight="1" x14ac:dyDescent="0.25">
      <c r="A145" s="92"/>
      <c r="B145" s="94"/>
      <c r="C145" s="144"/>
      <c r="D145" s="966"/>
      <c r="E145" s="1370"/>
      <c r="F145" s="414" t="s">
        <v>3929</v>
      </c>
      <c r="G145" s="1371" t="str">
        <f>Translations!$B$2057</f>
        <v>EF of electricity produced outside the installation (received from a source with a direct technical link)</v>
      </c>
      <c r="H145" s="1371"/>
      <c r="I145" s="1371"/>
      <c r="J145" s="1371"/>
      <c r="K145" s="1371"/>
      <c r="L145" s="1371"/>
      <c r="M145" s="1371"/>
      <c r="N145" s="1371"/>
      <c r="O145" s="428"/>
      <c r="S145" s="110"/>
    </row>
    <row r="146" spans="1:23" ht="12.75" customHeight="1" x14ac:dyDescent="0.25">
      <c r="A146" s="92"/>
      <c r="B146" s="94"/>
      <c r="C146" s="144"/>
      <c r="D146" s="966"/>
      <c r="E146" s="1370"/>
      <c r="F146" s="417" t="s">
        <v>3930</v>
      </c>
      <c r="G146" s="1371" t="str">
        <f>Translations!$B$2058</f>
        <v>EF of electricity produced outside the installation (received from a producer under a power purchase agreement)</v>
      </c>
      <c r="H146" s="1371"/>
      <c r="I146" s="1371"/>
      <c r="J146" s="1371"/>
      <c r="K146" s="1371"/>
      <c r="L146" s="1371"/>
      <c r="M146" s="1371"/>
      <c r="N146" s="1371"/>
      <c r="O146" s="428"/>
      <c r="S146" s="110"/>
    </row>
    <row r="147" spans="1:23" ht="25.5" customHeight="1" x14ac:dyDescent="0.25">
      <c r="A147" s="92"/>
      <c r="B147" s="94"/>
      <c r="C147" s="144"/>
      <c r="D147" s="966"/>
      <c r="E147" s="1373"/>
      <c r="F147" s="417" t="str">
        <f>Translations!$B$460</f>
        <v>Mix</v>
      </c>
      <c r="G147" s="1371" t="str">
        <f>Translations!$B$461</f>
        <v>Where the electricity is not predominantly obtained from one source or the EF determined by more than one of the above sources, the EF is determined as a mix of the methods above.</v>
      </c>
      <c r="H147" s="1371"/>
      <c r="I147" s="1371"/>
      <c r="J147" s="1371"/>
      <c r="K147" s="1371"/>
      <c r="L147" s="1371"/>
      <c r="M147" s="1371"/>
      <c r="N147" s="1371"/>
      <c r="O147" s="428"/>
      <c r="S147" s="110"/>
    </row>
    <row r="148" spans="1:23" ht="38.25" customHeight="1" x14ac:dyDescent="0.25">
      <c r="A148" s="92"/>
      <c r="B148" s="94"/>
      <c r="C148" s="144"/>
      <c r="D148" s="966" t="str">
        <f>Translations!$B$462</f>
        <v>k)</v>
      </c>
      <c r="E148" s="243" t="str">
        <f>Translations!$B$463</f>
        <v>Electricity exported</v>
      </c>
      <c r="F148" s="492"/>
      <c r="G148" s="1382"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2"/>
      <c r="I148" s="1382"/>
      <c r="J148" s="1382"/>
      <c r="K148" s="1382"/>
      <c r="L148" s="1382"/>
      <c r="M148" s="1382"/>
      <c r="N148" s="1382"/>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77" t="str">
        <f ca="1">HYPERLINK("#"&amp;S150,CONST_LinkFromGuidance)</f>
        <v>Please click on this link if you want to go back to the relevant section for data entry.</v>
      </c>
      <c r="F150" s="1377"/>
      <c r="G150" s="1377"/>
      <c r="H150" s="1377"/>
      <c r="I150" s="1377"/>
      <c r="J150" s="1377"/>
      <c r="K150" s="1377"/>
      <c r="L150" s="1377"/>
      <c r="M150" s="1377"/>
      <c r="N150" s="1377"/>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47"/>
      <c r="F154" s="1348"/>
      <c r="G154" s="1348"/>
      <c r="H154" s="1348"/>
      <c r="I154" s="1348"/>
      <c r="J154" s="1348"/>
      <c r="K154" s="1348"/>
      <c r="L154" s="1348"/>
      <c r="M154" s="1348"/>
      <c r="N154" s="1348"/>
      <c r="O154" s="428"/>
    </row>
    <row r="155" spans="1:23" ht="25.5" customHeight="1" x14ac:dyDescent="0.25">
      <c r="A155" s="92"/>
      <c r="B155" s="94"/>
      <c r="C155" s="948"/>
      <c r="D155" s="950"/>
      <c r="E155" s="1385"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5"/>
      <c r="G155" s="1385"/>
      <c r="H155" s="1385"/>
      <c r="I155" s="1385"/>
      <c r="J155" s="1385"/>
      <c r="K155" s="1385"/>
      <c r="L155" s="1385"/>
      <c r="M155" s="1385"/>
      <c r="N155" s="1385"/>
      <c r="O155" s="428"/>
    </row>
    <row r="156" spans="1:23" ht="5.0999999999999996" customHeight="1" x14ac:dyDescent="0.25">
      <c r="A156" s="92"/>
      <c r="B156" s="94"/>
      <c r="C156" s="948"/>
      <c r="D156" s="951"/>
      <c r="E156" s="1385"/>
      <c r="F156" s="1385"/>
      <c r="G156" s="1385"/>
      <c r="H156" s="1385"/>
      <c r="I156" s="1385"/>
      <c r="J156" s="1385"/>
      <c r="K156" s="1385"/>
      <c r="L156" s="1385"/>
      <c r="M156" s="1385"/>
      <c r="N156" s="1385"/>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77" t="str">
        <f ca="1">HYPERLINK("#"&amp;S158,CONST_LinkFromGuidance)</f>
        <v>Please click on this link if you want to go back to the relevant section for data entry.</v>
      </c>
      <c r="F158" s="1377"/>
      <c r="G158" s="1377"/>
      <c r="H158" s="1377"/>
      <c r="I158" s="1377"/>
      <c r="J158" s="1377"/>
      <c r="K158" s="1377"/>
      <c r="L158" s="1377"/>
      <c r="M158" s="1377"/>
      <c r="N158" s="1377"/>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83" t="str">
        <f>Translations!$B$2033</f>
        <v>General information on each production process</v>
      </c>
      <c r="F160" s="1383"/>
      <c r="G160" s="1383"/>
      <c r="H160" s="1383"/>
      <c r="I160" s="1383"/>
      <c r="J160" s="1383"/>
      <c r="K160" s="1383"/>
      <c r="L160" s="1383"/>
      <c r="M160" s="1383"/>
      <c r="N160" s="1383"/>
      <c r="O160" s="428"/>
      <c r="S160" s="110"/>
    </row>
    <row r="161" spans="1:19" ht="25.5" customHeight="1" x14ac:dyDescent="0.25">
      <c r="A161" s="92"/>
      <c r="B161" s="94"/>
      <c r="C161" s="144"/>
      <c r="D161" s="914"/>
      <c r="E161" s="1371"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72"/>
      <c r="G161" s="1372"/>
      <c r="H161" s="1372"/>
      <c r="I161" s="1372"/>
      <c r="J161" s="1372"/>
      <c r="K161" s="1372"/>
      <c r="L161" s="1372"/>
      <c r="M161" s="1372"/>
      <c r="N161" s="1372"/>
      <c r="O161" s="428"/>
      <c r="S161" s="110"/>
    </row>
    <row r="162" spans="1:19" ht="25.5" customHeight="1" x14ac:dyDescent="0.25">
      <c r="A162" s="92"/>
      <c r="B162" s="94"/>
      <c r="C162" s="144"/>
      <c r="D162" s="966" t="s">
        <v>2870</v>
      </c>
      <c r="E162" s="1371" t="str">
        <f>Translations!$B$276</f>
        <v>Total purchased levels:</v>
      </c>
      <c r="F162" s="1260"/>
      <c r="G162" s="1371" t="str">
        <f>Translations!$B$2060</f>
        <v xml:space="preserve">Please provide here the total amount of purchased precursor consumed in the reporting period, distinguishing amounts by the relevant production route by which the precursor was produced, if known. </v>
      </c>
      <c r="H162" s="1371"/>
      <c r="I162" s="1371"/>
      <c r="J162" s="1371"/>
      <c r="K162" s="1371"/>
      <c r="L162" s="1371"/>
      <c r="M162" s="1371"/>
      <c r="N162" s="1371"/>
      <c r="O162" s="428"/>
      <c r="S162" s="110"/>
    </row>
    <row r="163" spans="1:19" ht="25.5" customHeight="1" x14ac:dyDescent="0.25">
      <c r="A163" s="92"/>
      <c r="B163" s="94"/>
      <c r="C163" s="144"/>
      <c r="D163" s="966" t="s">
        <v>2871</v>
      </c>
      <c r="E163" s="1371" t="str">
        <f>Translations!$B$1967</f>
        <v>Consumed in 'production processes' within the installation:</v>
      </c>
      <c r="F163" s="1260"/>
      <c r="G163" s="1371" t="str">
        <f>Translations!$B$2061</f>
        <v>Under this point, please provide information how much of the precursor has been consumed during the reporting period in each production process within the installation.</v>
      </c>
      <c r="H163" s="1371"/>
      <c r="I163" s="1371"/>
      <c r="J163" s="1371"/>
      <c r="K163" s="1371"/>
      <c r="L163" s="1371"/>
      <c r="M163" s="1371"/>
      <c r="N163" s="1371"/>
      <c r="O163" s="428"/>
      <c r="S163" s="110"/>
    </row>
    <row r="164" spans="1:19" ht="25.5" customHeight="1" x14ac:dyDescent="0.25">
      <c r="A164" s="92"/>
      <c r="B164" s="94"/>
      <c r="C164" s="144"/>
      <c r="D164" s="966" t="s">
        <v>2872</v>
      </c>
      <c r="E164" s="1371" t="str">
        <f>Translations!$B$1968</f>
        <v>Consumed for other purposes, e.g. sold or used for non-CBAM goods:</v>
      </c>
      <c r="F164" s="1260"/>
      <c r="G164" s="1371" t="str">
        <f>Translations!$B$2062</f>
        <v>For completeness of data, please enter here the amount of the precursor not used for the production of CBAM goods within the installation. This includes transfer to other installations or sale of the precursor.</v>
      </c>
      <c r="H164" s="1371"/>
      <c r="I164" s="1371"/>
      <c r="J164" s="1371"/>
      <c r="K164" s="1371"/>
      <c r="L164" s="1371"/>
      <c r="M164" s="1371"/>
      <c r="N164" s="1371"/>
      <c r="O164" s="428"/>
      <c r="S164" s="110"/>
    </row>
    <row r="165" spans="1:19" ht="13.2" customHeight="1" x14ac:dyDescent="0.25">
      <c r="A165" s="92"/>
      <c r="B165" s="94"/>
      <c r="C165" s="144"/>
      <c r="D165" s="966" t="s">
        <v>2873</v>
      </c>
      <c r="E165" s="1371" t="str">
        <f>Translations!$B$253</f>
        <v>Control:</v>
      </c>
      <c r="F165" s="1260"/>
      <c r="G165" s="1371" t="str">
        <f>Translations!$B$2063</f>
        <v>This is an automatic calculation "a-(b+c)". Please ensure that this value is zero.</v>
      </c>
      <c r="H165" s="1371"/>
      <c r="I165" s="1371"/>
      <c r="J165" s="1371"/>
      <c r="K165" s="1371"/>
      <c r="L165" s="1371"/>
      <c r="M165" s="1371"/>
      <c r="N165" s="1371"/>
      <c r="O165" s="428"/>
      <c r="S165" s="110"/>
    </row>
    <row r="166" spans="1:19" ht="13.2" customHeight="1" x14ac:dyDescent="0.25">
      <c r="A166" s="92"/>
      <c r="B166" s="94"/>
      <c r="C166" s="144"/>
      <c r="D166" s="966"/>
      <c r="E166" s="1371"/>
      <c r="F166" s="1260"/>
      <c r="G166" s="1371"/>
      <c r="H166" s="1371"/>
      <c r="I166" s="1371"/>
      <c r="J166" s="1371"/>
      <c r="K166" s="1371"/>
      <c r="L166" s="1371"/>
      <c r="M166" s="1371"/>
      <c r="N166" s="1371"/>
      <c r="O166" s="428"/>
      <c r="S166" s="110"/>
    </row>
    <row r="167" spans="1:19" ht="25.5" customHeight="1" x14ac:dyDescent="0.25">
      <c r="A167" s="92"/>
      <c r="B167" s="94"/>
      <c r="C167" s="144"/>
      <c r="D167" s="966" t="s">
        <v>2874</v>
      </c>
      <c r="E167" s="1380" t="str">
        <f>Translations!$B$280</f>
        <v>Emissions embedded in this purchased precursor</v>
      </c>
      <c r="F167" s="1398"/>
      <c r="G167" s="1380" t="str">
        <f>Translations!$B$2064</f>
        <v>Please enter here the values obtained from the supplier of the precursor, and the data source given by the supplier.</v>
      </c>
      <c r="H167" s="1380"/>
      <c r="I167" s="1380"/>
      <c r="J167" s="1380"/>
      <c r="K167" s="1380"/>
      <c r="L167" s="1380"/>
      <c r="M167" s="1380"/>
      <c r="N167" s="1380"/>
      <c r="O167" s="428"/>
      <c r="S167" s="110"/>
    </row>
    <row r="168" spans="1:19" ht="25.5" customHeight="1" x14ac:dyDescent="0.25">
      <c r="A168" s="92"/>
      <c r="B168" s="94"/>
      <c r="C168" s="144"/>
      <c r="D168" s="966"/>
      <c r="E168" s="1106"/>
      <c r="F168" s="811"/>
      <c r="G168" s="1370" t="str">
        <f>Translations!$B$2065</f>
        <v>As information source you may choose whether the producer has determined (measured) the data, or whether the default value provided by the European Commission was used.</v>
      </c>
      <c r="H168" s="1169"/>
      <c r="I168" s="1169"/>
      <c r="J168" s="1169"/>
      <c r="K168" s="1169"/>
      <c r="L168" s="1169"/>
      <c r="M168" s="1169"/>
      <c r="N168" s="1169"/>
      <c r="O168" s="428"/>
      <c r="S168" s="110"/>
    </row>
    <row r="169" spans="1:19" ht="25.5" customHeight="1" x14ac:dyDescent="0.25">
      <c r="A169" s="92"/>
      <c r="B169" s="94"/>
      <c r="C169" s="144"/>
      <c r="D169" s="966"/>
      <c r="E169" s="1107"/>
      <c r="F169" s="1108"/>
      <c r="G169" s="1373" t="str">
        <f>Translations!$B$283</f>
        <v>In order to obtain these data and information, you may want to ask your supplier to fill in an empty copy of this communication template.</v>
      </c>
      <c r="H169" s="1386"/>
      <c r="I169" s="1386"/>
      <c r="J169" s="1386"/>
      <c r="K169" s="1386"/>
      <c r="L169" s="1386"/>
      <c r="M169" s="1386"/>
      <c r="N169" s="1386"/>
      <c r="O169" s="428"/>
      <c r="S169" s="110"/>
    </row>
    <row r="170" spans="1:19" ht="39.6" customHeight="1" x14ac:dyDescent="0.25">
      <c r="A170" s="92"/>
      <c r="B170" s="94"/>
      <c r="C170" s="144"/>
      <c r="D170" s="968" t="s">
        <v>41</v>
      </c>
      <c r="E170" s="1371" t="str">
        <f>Translations!$B$1969</f>
        <v>Specific embedded direct emissions (SEE (direct))</v>
      </c>
      <c r="F170" s="1376"/>
      <c r="G170" s="1371"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1"/>
      <c r="I170" s="1371"/>
      <c r="J170" s="1371"/>
      <c r="K170" s="1371"/>
      <c r="L170" s="1371"/>
      <c r="M170" s="1371"/>
      <c r="N170" s="1371"/>
      <c r="O170" s="428"/>
      <c r="S170" s="110"/>
    </row>
    <row r="171" spans="1:19" ht="25.5" customHeight="1" x14ac:dyDescent="0.25">
      <c r="A171" s="92"/>
      <c r="B171" s="94"/>
      <c r="C171" s="144"/>
      <c r="D171" s="968" t="s">
        <v>42</v>
      </c>
      <c r="E171" s="1371" t="str">
        <f>Translations!$B$1970</f>
        <v>Specific electricity consumption (for SEE (indirect))</v>
      </c>
      <c r="F171" s="1376"/>
      <c r="G171" s="1371" t="str">
        <f>Translations!$B$2067</f>
        <v>Please enter the value for the electricity consumption per tonne of precursor. If obtained from the supplier, use the most recent available data.</v>
      </c>
      <c r="H171" s="1371"/>
      <c r="I171" s="1371"/>
      <c r="J171" s="1371"/>
      <c r="K171" s="1371"/>
      <c r="L171" s="1371"/>
      <c r="M171" s="1371"/>
      <c r="N171" s="1371"/>
      <c r="O171" s="428"/>
      <c r="S171" s="110"/>
    </row>
    <row r="172" spans="1:19" ht="26.4" customHeight="1" x14ac:dyDescent="0.25">
      <c r="A172" s="92"/>
      <c r="B172" s="94"/>
      <c r="C172" s="144"/>
      <c r="D172" s="968" t="s">
        <v>43</v>
      </c>
      <c r="E172" s="1371" t="str">
        <f>Translations!$B$1971</f>
        <v>Electricity emission factor (for SEE (indirect))</v>
      </c>
      <c r="F172" s="1376"/>
      <c r="G172" s="1371" t="str">
        <f>Translations!$B$2068</f>
        <v>Please enter the applicable emission factor (EF) for electricity used for the production of the precursor. The following options can be chosen as data source:</v>
      </c>
      <c r="H172" s="1371"/>
      <c r="I172" s="1371"/>
      <c r="J172" s="1371"/>
      <c r="K172" s="1371"/>
      <c r="L172" s="1371"/>
      <c r="M172" s="1371"/>
      <c r="N172" s="1371"/>
      <c r="O172" s="428"/>
      <c r="S172" s="110"/>
    </row>
    <row r="173" spans="1:19" ht="12.75" customHeight="1" x14ac:dyDescent="0.25">
      <c r="A173" s="92"/>
      <c r="B173" s="94"/>
      <c r="C173" s="144"/>
      <c r="D173" s="966"/>
      <c r="E173" s="1105"/>
      <c r="F173" s="416" t="s">
        <v>3925</v>
      </c>
      <c r="G173" s="1373" t="str">
        <f>Translations!$B$2053</f>
        <v>EF based on IEA data, provided by the European Commission</v>
      </c>
      <c r="H173" s="1373"/>
      <c r="I173" s="1373"/>
      <c r="J173" s="1373"/>
      <c r="K173" s="1373"/>
      <c r="L173" s="1373"/>
      <c r="M173" s="1373"/>
      <c r="N173" s="1373"/>
      <c r="O173" s="428"/>
      <c r="S173" s="110"/>
    </row>
    <row r="174" spans="1:19" ht="25.95" customHeight="1" x14ac:dyDescent="0.25">
      <c r="A174" s="92"/>
      <c r="B174" s="94"/>
      <c r="C174" s="144"/>
      <c r="D174" s="966"/>
      <c r="E174" s="1105"/>
      <c r="F174" s="414" t="s">
        <v>3926</v>
      </c>
      <c r="G174" s="1371" t="str">
        <f>Translations!$B$2054</f>
        <v>EF based on other publicly available data representing either the average EF or the CO2 emission factor as in section 4.3 of Annex IV of the CBAM Regulation.</v>
      </c>
      <c r="H174" s="1371"/>
      <c r="I174" s="1371"/>
      <c r="J174" s="1371"/>
      <c r="K174" s="1371"/>
      <c r="L174" s="1371"/>
      <c r="M174" s="1371"/>
      <c r="N174" s="1371"/>
      <c r="O174" s="428"/>
      <c r="S174" s="110"/>
    </row>
    <row r="175" spans="1:19" ht="12.75" customHeight="1" x14ac:dyDescent="0.25">
      <c r="A175" s="92"/>
      <c r="B175" s="94"/>
      <c r="C175" s="144"/>
      <c r="D175" s="966"/>
      <c r="E175" s="1105"/>
      <c r="F175" s="414" t="s">
        <v>3927</v>
      </c>
      <c r="G175" s="1371" t="str">
        <f>Translations!$B$2055</f>
        <v>EF of electricity produced in the installation other than by cogeneration</v>
      </c>
      <c r="H175" s="1371"/>
      <c r="I175" s="1371"/>
      <c r="J175" s="1371"/>
      <c r="K175" s="1371"/>
      <c r="L175" s="1371"/>
      <c r="M175" s="1371"/>
      <c r="N175" s="1371"/>
      <c r="O175" s="428"/>
      <c r="S175" s="110"/>
    </row>
    <row r="176" spans="1:19" ht="12.75" customHeight="1" x14ac:dyDescent="0.25">
      <c r="A176" s="92"/>
      <c r="B176" s="94"/>
      <c r="C176" s="144"/>
      <c r="D176" s="966"/>
      <c r="E176" s="1105"/>
      <c r="F176" s="414" t="s">
        <v>3928</v>
      </c>
      <c r="G176" s="1371" t="str">
        <f>Translations!$B$2056</f>
        <v>EF of electricity produced in the installation by cogeneration</v>
      </c>
      <c r="H176" s="1371"/>
      <c r="I176" s="1371"/>
      <c r="J176" s="1371"/>
      <c r="K176" s="1371"/>
      <c r="L176" s="1371"/>
      <c r="M176" s="1371"/>
      <c r="N176" s="1371"/>
      <c r="O176" s="428"/>
      <c r="S176" s="110"/>
    </row>
    <row r="177" spans="1:23" ht="12.75" customHeight="1" x14ac:dyDescent="0.25">
      <c r="A177" s="92"/>
      <c r="B177" s="94"/>
      <c r="C177" s="144"/>
      <c r="D177" s="966"/>
      <c r="E177" s="1105"/>
      <c r="F177" s="414" t="s">
        <v>3929</v>
      </c>
      <c r="G177" s="1371" t="str">
        <f>Translations!$B$2057</f>
        <v>EF of electricity produced outside the installation (received from a source with a direct technical link)</v>
      </c>
      <c r="H177" s="1371"/>
      <c r="I177" s="1371"/>
      <c r="J177" s="1371"/>
      <c r="K177" s="1371"/>
      <c r="L177" s="1371"/>
      <c r="M177" s="1371"/>
      <c r="N177" s="1371"/>
      <c r="O177" s="428"/>
      <c r="S177" s="110"/>
    </row>
    <row r="178" spans="1:23" ht="12.75" customHeight="1" x14ac:dyDescent="0.25">
      <c r="A178" s="92"/>
      <c r="B178" s="94"/>
      <c r="C178" s="144"/>
      <c r="D178" s="966"/>
      <c r="E178" s="1105"/>
      <c r="F178" s="417" t="s">
        <v>3930</v>
      </c>
      <c r="G178" s="1371" t="str">
        <f>Translations!$B$2058</f>
        <v>EF of electricity produced outside the installation (received from a producer under a power purchase agreement)</v>
      </c>
      <c r="H178" s="1371"/>
      <c r="I178" s="1371"/>
      <c r="J178" s="1371"/>
      <c r="K178" s="1371"/>
      <c r="L178" s="1371"/>
      <c r="M178" s="1371"/>
      <c r="N178" s="1371"/>
      <c r="O178" s="428"/>
      <c r="S178" s="110"/>
    </row>
    <row r="179" spans="1:23" ht="25.5" customHeight="1" x14ac:dyDescent="0.25">
      <c r="A179" s="92"/>
      <c r="B179" s="94"/>
      <c r="C179" s="144"/>
      <c r="D179" s="966"/>
      <c r="E179" s="1105"/>
      <c r="F179" s="417" t="str">
        <f>Translations!$B$460</f>
        <v>Mix</v>
      </c>
      <c r="G179" s="1371" t="str">
        <f>Translations!$B$461</f>
        <v>Where the electricity is not predominantly obtained from one source or the EF determined by more than one of the above sources, the EF is determined as a mix of the methods above.</v>
      </c>
      <c r="H179" s="1371"/>
      <c r="I179" s="1371"/>
      <c r="J179" s="1371"/>
      <c r="K179" s="1371"/>
      <c r="L179" s="1371"/>
      <c r="M179" s="1371"/>
      <c r="N179" s="1371"/>
      <c r="O179" s="428"/>
      <c r="S179" s="110"/>
    </row>
    <row r="180" spans="1:23" ht="25.5" customHeight="1" x14ac:dyDescent="0.25">
      <c r="A180" s="92"/>
      <c r="B180" s="94"/>
      <c r="C180" s="144"/>
      <c r="D180" s="968" t="s">
        <v>44</v>
      </c>
      <c r="E180" s="1371" t="str">
        <f>Translations!$B$1972</f>
        <v>Specific embedded indirect emissions (SEE (indirect))</v>
      </c>
      <c r="F180" s="1376"/>
      <c r="G180" s="1371" t="str">
        <f>Translations!$B$2069</f>
        <v>The specific embedded indirect emissions are calculated by the template as electricity consumed times the emission factor.</v>
      </c>
      <c r="H180" s="1371"/>
      <c r="I180" s="1371"/>
      <c r="J180" s="1371"/>
      <c r="K180" s="1371"/>
      <c r="L180" s="1371"/>
      <c r="M180" s="1371"/>
      <c r="N180" s="1371"/>
      <c r="O180" s="428"/>
      <c r="S180" s="110"/>
    </row>
    <row r="181" spans="1:23" ht="25.5" customHeight="1" x14ac:dyDescent="0.25">
      <c r="A181" s="92"/>
      <c r="B181" s="94"/>
      <c r="C181" s="144"/>
      <c r="D181" s="968" t="s">
        <v>45</v>
      </c>
      <c r="E181" s="1382" t="str">
        <f>Translations!$B$1858</f>
        <v>Justification for use of default values (if relevant):</v>
      </c>
      <c r="F181" s="1399"/>
      <c r="G181" s="1382" t="str">
        <f>Translations!$B$2070</f>
        <v>If you used default values for at least one parameter, you have to provide a justification for the use of the default value. Please select one from the drop-down list.</v>
      </c>
      <c r="H181" s="1382"/>
      <c r="I181" s="1382"/>
      <c r="J181" s="1382"/>
      <c r="K181" s="1382"/>
      <c r="L181" s="1382"/>
      <c r="M181" s="1382"/>
      <c r="N181" s="1382"/>
      <c r="O181" s="428"/>
      <c r="S181" s="110"/>
    </row>
    <row r="182" spans="1:23" ht="25.5" customHeight="1" x14ac:dyDescent="0.25">
      <c r="A182" s="92"/>
      <c r="B182" s="94"/>
      <c r="C182" s="144"/>
      <c r="D182" s="914"/>
      <c r="E182" s="1401" t="str">
        <f>Translations!$B$2119</f>
        <v>Remark on how to enter default values for indirect embedded emissions</v>
      </c>
      <c r="F182" s="1401"/>
      <c r="G182" s="1401"/>
      <c r="H182" s="1401"/>
      <c r="I182" s="1401"/>
      <c r="J182" s="1401"/>
      <c r="K182" s="1401"/>
      <c r="L182" s="1401"/>
      <c r="M182" s="1401"/>
      <c r="N182" s="1401"/>
      <c r="O182" s="428"/>
      <c r="S182" s="110"/>
    </row>
    <row r="183" spans="1:23" ht="25.5" customHeight="1" x14ac:dyDescent="0.25">
      <c r="A183" s="92"/>
      <c r="B183" s="94"/>
      <c r="C183" s="144"/>
      <c r="D183" s="914"/>
      <c r="E183" s="1404"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405"/>
      <c r="G183" s="1405"/>
      <c r="H183" s="1405"/>
      <c r="I183" s="1405"/>
      <c r="J183" s="1405"/>
      <c r="K183" s="1405"/>
      <c r="L183" s="1405"/>
      <c r="M183" s="1405"/>
      <c r="N183" s="1405"/>
      <c r="O183" s="428"/>
      <c r="S183" s="110"/>
    </row>
    <row r="184" spans="1:23" ht="13.2" customHeight="1" x14ac:dyDescent="0.25">
      <c r="A184" s="92"/>
      <c r="B184" s="94"/>
      <c r="C184" s="144"/>
      <c r="D184" s="914"/>
      <c r="E184" s="1406" t="str">
        <f>Translations!$B$2121</f>
        <v xml:space="preserve">First determine the applicable emission factor for electricity in the country of origin of the purchased precursor (options in accordance with point iii. above). </v>
      </c>
      <c r="F184" s="1407"/>
      <c r="G184" s="1407"/>
      <c r="H184" s="1407"/>
      <c r="I184" s="1407"/>
      <c r="J184" s="1407"/>
      <c r="K184" s="1407"/>
      <c r="L184" s="1407"/>
      <c r="M184" s="1407"/>
      <c r="N184" s="1407"/>
      <c r="O184" s="428"/>
      <c r="S184" s="110"/>
    </row>
    <row r="185" spans="1:23" ht="13.2" customHeight="1" x14ac:dyDescent="0.25">
      <c r="A185" s="92"/>
      <c r="B185" s="94"/>
      <c r="C185" s="144"/>
      <c r="D185" s="914"/>
      <c r="E185" s="1406" t="str">
        <f>Translations!$B$2122</f>
        <v>Secondly, divide the default value for the indirect specific embedded emissions by that emission factor. The result is the specific electricity consumption that is to be entered in field ii.</v>
      </c>
      <c r="F185" s="1407"/>
      <c r="G185" s="1407"/>
      <c r="H185" s="1407"/>
      <c r="I185" s="1407"/>
      <c r="J185" s="1407"/>
      <c r="K185" s="1407"/>
      <c r="L185" s="1407"/>
      <c r="M185" s="1407"/>
      <c r="N185" s="1407"/>
      <c r="O185" s="428"/>
      <c r="S185" s="110"/>
    </row>
    <row r="186" spans="1:23" ht="13.2" customHeight="1" x14ac:dyDescent="0.25">
      <c r="A186" s="92"/>
      <c r="B186" s="94"/>
      <c r="C186" s="144"/>
      <c r="D186" s="914"/>
      <c r="E186" s="1406" t="str">
        <f>Translations!$B$2123</f>
        <v>Enter the emission factor determined in the first step in field iii.</v>
      </c>
      <c r="F186" s="1407"/>
      <c r="G186" s="1407"/>
      <c r="H186" s="1407"/>
      <c r="I186" s="1407"/>
      <c r="J186" s="1407"/>
      <c r="K186" s="1407"/>
      <c r="L186" s="1407"/>
      <c r="M186" s="1407"/>
      <c r="N186" s="1407"/>
      <c r="O186" s="428"/>
      <c r="S186" s="110"/>
    </row>
    <row r="187" spans="1:23" ht="25.5" customHeight="1" x14ac:dyDescent="0.25">
      <c r="A187" s="92"/>
      <c r="B187" s="94"/>
      <c r="C187" s="144"/>
      <c r="D187" s="914"/>
      <c r="E187" s="1402"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403"/>
      <c r="G187" s="1403"/>
      <c r="H187" s="1403"/>
      <c r="I187" s="1403"/>
      <c r="J187" s="1403"/>
      <c r="K187" s="1403"/>
      <c r="L187" s="1403"/>
      <c r="M187" s="1403"/>
      <c r="N187" s="1403"/>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5" t="str">
        <f>Translations!$B$466</f>
        <v>Please find below the detailed guidance on how to complete the sheet "Summary_Products".</v>
      </c>
      <c r="F192" s="1385"/>
      <c r="G192" s="1385"/>
      <c r="H192" s="1385"/>
      <c r="I192" s="1385"/>
      <c r="J192" s="1385"/>
      <c r="K192" s="1385"/>
      <c r="L192" s="1385"/>
      <c r="M192" s="1385"/>
      <c r="N192" s="1385"/>
      <c r="O192" s="428"/>
    </row>
    <row r="193" spans="1:19" ht="25.5" customHeight="1" x14ac:dyDescent="0.25">
      <c r="A193" s="92"/>
      <c r="B193" s="94"/>
      <c r="C193" s="948"/>
      <c r="D193" s="950"/>
      <c r="E193" s="1381" t="str">
        <f>Translations!$B$467</f>
        <v>Sheet "Summary_Products" will be crucial for the communication with the 'reporting declarant' as it contains the main information required in order to correctly fill in the 'CBAM report' for importing the goods into the European Union.</v>
      </c>
      <c r="F193" s="1381"/>
      <c r="G193" s="1381"/>
      <c r="H193" s="1381"/>
      <c r="I193" s="1381"/>
      <c r="J193" s="1381"/>
      <c r="K193" s="1381"/>
      <c r="L193" s="1381"/>
      <c r="M193" s="1381"/>
      <c r="N193" s="1381"/>
      <c r="O193" s="428"/>
    </row>
    <row r="194" spans="1:19" ht="25.5" customHeight="1" x14ac:dyDescent="0.25">
      <c r="A194" s="92"/>
      <c r="B194" s="94"/>
      <c r="C194" s="948"/>
      <c r="D194" s="950"/>
      <c r="E194" s="1385" t="str">
        <f>Translations!$B$2071</f>
        <v>Information should be provided for each type of good imported into the EU. The type of goods should be listed as disaggregated as possible, i.e. splitting type of goods by their CN codes using as many digits as possible.</v>
      </c>
      <c r="F194" s="1385"/>
      <c r="G194" s="1385"/>
      <c r="H194" s="1385"/>
      <c r="I194" s="1385"/>
      <c r="J194" s="1385"/>
      <c r="K194" s="1385"/>
      <c r="L194" s="1385"/>
      <c r="M194" s="1385"/>
      <c r="N194" s="1385"/>
      <c r="O194" s="428"/>
    </row>
    <row r="195" spans="1:19" ht="13.2" customHeight="1" x14ac:dyDescent="0.25">
      <c r="A195" s="92"/>
      <c r="B195" s="94"/>
      <c r="C195" s="948"/>
      <c r="D195" s="950"/>
      <c r="E195" s="1381" t="str">
        <f>Translations!$B$469</f>
        <v>All information provided (specific embedded emissions, carbon price due, etc.) shall relate to the same reference period as entered in sheet A, section 1.</v>
      </c>
      <c r="F195" s="1381"/>
      <c r="G195" s="1381"/>
      <c r="H195" s="1381"/>
      <c r="I195" s="1381"/>
      <c r="J195" s="1381"/>
      <c r="K195" s="1381"/>
      <c r="L195" s="1381"/>
      <c r="M195" s="1381"/>
      <c r="N195" s="1381"/>
      <c r="O195" s="428"/>
    </row>
    <row r="196" spans="1:19" ht="13.2" customHeight="1" x14ac:dyDescent="0.25">
      <c r="A196" s="92"/>
      <c r="B196" s="94"/>
      <c r="C196" s="948"/>
      <c r="D196" s="950"/>
      <c r="E196" s="1385" t="str">
        <f>Translations!$B$469</f>
        <v>All information provided (specific embedded emissions, carbon price due, etc.) shall relate to the same reference period as entered in sheet A, section 1.</v>
      </c>
      <c r="F196" s="1385"/>
      <c r="G196" s="1385"/>
      <c r="H196" s="1385"/>
      <c r="I196" s="1385"/>
      <c r="J196" s="1385"/>
      <c r="K196" s="1385"/>
      <c r="L196" s="1385"/>
      <c r="M196" s="1385"/>
      <c r="N196" s="1385"/>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77" t="str">
        <f ca="1">HYPERLINK("#"&amp;S199,CONST_LinkFromGuidance)</f>
        <v>Please click on this link if you want to go back to the relevant section for data entry.</v>
      </c>
      <c r="F199" s="1377"/>
      <c r="G199" s="1377"/>
      <c r="H199" s="1377"/>
      <c r="I199" s="1377"/>
      <c r="J199" s="1377"/>
      <c r="K199" s="1377"/>
      <c r="L199" s="1377"/>
      <c r="M199" s="1377"/>
      <c r="N199" s="1377"/>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83" t="str">
        <f>Translations!$B$471</f>
        <v>General parameters</v>
      </c>
      <c r="F201" s="1383"/>
      <c r="G201" s="1383"/>
      <c r="H201" s="1383"/>
      <c r="I201" s="1383"/>
      <c r="J201" s="1383"/>
      <c r="K201" s="1383"/>
      <c r="L201" s="1383"/>
      <c r="M201" s="1383"/>
      <c r="N201" s="1383"/>
      <c r="O201" s="428"/>
      <c r="S201" s="110"/>
    </row>
    <row r="202" spans="1:19" ht="25.2" customHeight="1" x14ac:dyDescent="0.25">
      <c r="A202" s="92"/>
      <c r="B202" s="94"/>
      <c r="C202" s="144"/>
      <c r="D202" s="967"/>
      <c r="E202" s="415" t="str">
        <f>Translations!$B$472</f>
        <v>Production process from which the products arise</v>
      </c>
      <c r="F202" s="416"/>
      <c r="G202" s="1380"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80"/>
      <c r="I202" s="1380"/>
      <c r="J202" s="1380"/>
      <c r="K202" s="1380"/>
      <c r="L202" s="1380"/>
      <c r="M202" s="1380"/>
      <c r="N202" s="1380"/>
      <c r="O202" s="428"/>
      <c r="S202" s="110"/>
    </row>
    <row r="203" spans="1:19" ht="12.75" customHeight="1" x14ac:dyDescent="0.25">
      <c r="A203" s="92"/>
      <c r="B203" s="94"/>
      <c r="C203" s="144"/>
      <c r="D203" s="967"/>
      <c r="E203" s="242" t="str">
        <f>Translations!$B$603</f>
        <v>Type of aggregated good or precursor</v>
      </c>
      <c r="F203" s="414"/>
      <c r="G203" s="1386"/>
      <c r="H203" s="1386"/>
      <c r="I203" s="1386"/>
      <c r="J203" s="1386"/>
      <c r="K203" s="1386"/>
      <c r="L203" s="1386"/>
      <c r="M203" s="1386"/>
      <c r="N203" s="1386"/>
      <c r="O203" s="428"/>
      <c r="S203" s="110"/>
    </row>
    <row r="204" spans="1:19" ht="12.75" customHeight="1" x14ac:dyDescent="0.25">
      <c r="A204" s="92"/>
      <c r="B204" s="94"/>
      <c r="C204" s="144"/>
      <c r="D204" s="967"/>
      <c r="E204" s="242" t="str">
        <f>Translations!$B$474</f>
        <v>CN Codes</v>
      </c>
      <c r="F204" s="414"/>
      <c r="G204" s="1371" t="str">
        <f>Translations!$B$475</f>
        <v>Please select here the relevant CN code, as disaggregated as possible (i.e. 8-digit code, if possible)</v>
      </c>
      <c r="H204" s="1371"/>
      <c r="I204" s="1371"/>
      <c r="J204" s="1371"/>
      <c r="K204" s="1371"/>
      <c r="L204" s="1371"/>
      <c r="M204" s="1371"/>
      <c r="N204" s="1371"/>
      <c r="O204" s="428"/>
      <c r="S204" s="110"/>
    </row>
    <row r="205" spans="1:19" ht="13.2" customHeight="1" x14ac:dyDescent="0.25">
      <c r="A205" s="92"/>
      <c r="B205" s="94"/>
      <c r="C205" s="144"/>
      <c r="D205" s="967"/>
      <c r="E205" s="242" t="str">
        <f>Translations!$B$604</f>
        <v>CN Name</v>
      </c>
      <c r="F205" s="414"/>
      <c r="G205" s="1371" t="str">
        <f>Translations!$B$2072</f>
        <v>The full text name of the selected CN category will be displayed here automatically after selecting the CN code.</v>
      </c>
      <c r="H205" s="1371"/>
      <c r="I205" s="1371"/>
      <c r="J205" s="1371"/>
      <c r="K205" s="1371"/>
      <c r="L205" s="1371"/>
      <c r="M205" s="1371"/>
      <c r="N205" s="1371"/>
      <c r="O205" s="428"/>
      <c r="S205" s="110"/>
    </row>
    <row r="206" spans="1:19" ht="38.25" customHeight="1" x14ac:dyDescent="0.25">
      <c r="A206" s="92"/>
      <c r="B206" s="94"/>
      <c r="C206" s="144"/>
      <c r="D206" s="967"/>
      <c r="E206" s="242" t="str">
        <f>Translations!$B$476</f>
        <v>Product name 
(used for communication with reporting declarant)</v>
      </c>
      <c r="F206" s="414"/>
      <c r="G206" s="1371"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1"/>
      <c r="I206" s="1371"/>
      <c r="J206" s="1371"/>
      <c r="K206" s="1371"/>
      <c r="L206" s="1371"/>
      <c r="M206" s="1371"/>
      <c r="N206" s="1371"/>
      <c r="O206" s="428"/>
      <c r="S206" s="110"/>
    </row>
    <row r="207" spans="1:19" ht="13.2" customHeight="1" x14ac:dyDescent="0.25">
      <c r="A207" s="92"/>
      <c r="B207" s="94"/>
      <c r="C207" s="144"/>
      <c r="D207" s="967"/>
      <c r="E207" s="413" t="str">
        <f>Translations!$B$478</f>
        <v>Embedded emissions</v>
      </c>
      <c r="F207" s="1109" t="str">
        <f>Translations!$B$570</f>
        <v>SEE (direct)</v>
      </c>
      <c r="G207" s="1380"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80"/>
      <c r="I207" s="1380"/>
      <c r="J207" s="1380"/>
      <c r="K207" s="1380"/>
      <c r="L207" s="1380"/>
      <c r="M207" s="1380"/>
      <c r="N207" s="1380"/>
      <c r="O207" s="428"/>
      <c r="S207" s="110"/>
    </row>
    <row r="208" spans="1:19" ht="13.2" customHeight="1" x14ac:dyDescent="0.25">
      <c r="A208" s="92"/>
      <c r="B208" s="94"/>
      <c r="C208" s="144"/>
      <c r="D208" s="967"/>
      <c r="E208" s="441"/>
      <c r="F208" s="1104" t="str">
        <f>Translations!$B$574</f>
        <v>SEE (indirect)</v>
      </c>
      <c r="G208" s="1370"/>
      <c r="H208" s="1370"/>
      <c r="I208" s="1370"/>
      <c r="J208" s="1370"/>
      <c r="K208" s="1370"/>
      <c r="L208" s="1370"/>
      <c r="M208" s="1370"/>
      <c r="N208" s="1370"/>
      <c r="O208" s="428"/>
      <c r="S208" s="110"/>
    </row>
    <row r="209" spans="1:19" ht="13.2" customHeight="1" x14ac:dyDescent="0.25">
      <c r="A209" s="92"/>
      <c r="B209" s="94"/>
      <c r="C209" s="144"/>
      <c r="D209" s="967"/>
      <c r="E209" s="441"/>
      <c r="F209" s="1104" t="str">
        <f>Translations!$B$344</f>
        <v>SEE (total)</v>
      </c>
      <c r="G209" s="1370"/>
      <c r="H209" s="1370"/>
      <c r="I209" s="1370"/>
      <c r="J209" s="1370"/>
      <c r="K209" s="1370"/>
      <c r="L209" s="1370"/>
      <c r="M209" s="1370"/>
      <c r="N209" s="1370"/>
      <c r="O209" s="428"/>
      <c r="S209" s="110"/>
    </row>
    <row r="210" spans="1:19" ht="13.2" customHeight="1" x14ac:dyDescent="0.25">
      <c r="A210" s="92"/>
      <c r="B210" s="94"/>
      <c r="C210" s="144"/>
      <c r="D210" s="967"/>
      <c r="E210" s="415"/>
      <c r="F210" s="819" t="str">
        <f>Translations!$B$221</f>
        <v>Unit</v>
      </c>
      <c r="G210" s="1373" t="str">
        <f>Translations!$B$2074</f>
        <v>The unit for all SEE values is t CO2e per tonne of product. For electricity as product SEE is in the unit of t CO2e per MWh.</v>
      </c>
      <c r="H210" s="1400"/>
      <c r="I210" s="1400"/>
      <c r="J210" s="1400"/>
      <c r="K210" s="1400"/>
      <c r="L210" s="1400"/>
      <c r="M210" s="1400"/>
      <c r="N210" s="1400"/>
      <c r="O210" s="428"/>
      <c r="S210" s="110"/>
    </row>
    <row r="211" spans="1:19" ht="25.5" customHeight="1" x14ac:dyDescent="0.25">
      <c r="A211" s="92"/>
      <c r="B211" s="94"/>
      <c r="C211" s="144"/>
      <c r="D211" s="967"/>
      <c r="E211" s="413" t="str">
        <f>Translations!$B$1868</f>
        <v>Share of emissions by default value</v>
      </c>
      <c r="F211" s="417"/>
      <c r="G211" s="1371" t="str">
        <f>Translations!$B$1869</f>
        <v>Share of direct embedded emissions embedded in purchased precursors and determined by default values.</v>
      </c>
      <c r="H211" s="1371"/>
      <c r="I211" s="1371"/>
      <c r="J211" s="1371"/>
      <c r="K211" s="1371"/>
      <c r="L211" s="1371"/>
      <c r="M211" s="1371"/>
      <c r="N211" s="1371"/>
      <c r="O211" s="428"/>
      <c r="S211" s="110"/>
    </row>
    <row r="212" spans="1:19" ht="25.5" customHeight="1" x14ac:dyDescent="0.25">
      <c r="A212" s="92"/>
      <c r="B212" s="94"/>
      <c r="C212" s="144"/>
      <c r="D212" s="967"/>
      <c r="E212" s="413" t="str">
        <f>Translations!$B$606</f>
        <v>Source for electricity EF</v>
      </c>
      <c r="F212" s="417"/>
      <c r="G212" s="1380" t="str">
        <f>Translations!$B$2075</f>
        <v>The source of the emission factor for electricity. The following options (based on the related sections of Annex III of the Implementing Act) are available:</v>
      </c>
      <c r="H212" s="1380"/>
      <c r="I212" s="1380"/>
      <c r="J212" s="1380"/>
      <c r="K212" s="1380"/>
      <c r="L212" s="1380"/>
      <c r="M212" s="1380"/>
      <c r="N212" s="1380"/>
      <c r="O212" s="428"/>
      <c r="S212" s="110"/>
    </row>
    <row r="213" spans="1:19" ht="12.75" customHeight="1" x14ac:dyDescent="0.25">
      <c r="A213" s="92"/>
      <c r="B213" s="94"/>
      <c r="C213" s="144"/>
      <c r="D213" s="966"/>
      <c r="E213" s="1106"/>
      <c r="F213" s="442" t="s">
        <v>3925</v>
      </c>
      <c r="G213" s="1373" t="str">
        <f>Translations!$B$2053</f>
        <v>EF based on IEA data, provided by the European Commission</v>
      </c>
      <c r="H213" s="1373"/>
      <c r="I213" s="1373"/>
      <c r="J213" s="1373"/>
      <c r="K213" s="1373"/>
      <c r="L213" s="1373"/>
      <c r="M213" s="1373"/>
      <c r="N213" s="1373"/>
      <c r="O213" s="428"/>
      <c r="S213" s="110"/>
    </row>
    <row r="214" spans="1:19" ht="25.95" customHeight="1" x14ac:dyDescent="0.25">
      <c r="A214" s="92"/>
      <c r="B214" s="94"/>
      <c r="C214" s="144"/>
      <c r="D214" s="966"/>
      <c r="E214" s="1106"/>
      <c r="F214" s="442" t="s">
        <v>3926</v>
      </c>
      <c r="G214" s="1371" t="str">
        <f>Translations!$B$2054</f>
        <v>EF based on other publicly available data representing either the average EF or the CO2 emission factor as in section 4.3 of Annex IV of the CBAM Regulation.</v>
      </c>
      <c r="H214" s="1371"/>
      <c r="I214" s="1371"/>
      <c r="J214" s="1371"/>
      <c r="K214" s="1371"/>
      <c r="L214" s="1371"/>
      <c r="M214" s="1371"/>
      <c r="N214" s="1371"/>
      <c r="O214" s="428"/>
      <c r="S214" s="110"/>
    </row>
    <row r="215" spans="1:19" ht="12.75" customHeight="1" x14ac:dyDescent="0.25">
      <c r="A215" s="92"/>
      <c r="B215" s="94"/>
      <c r="C215" s="144"/>
      <c r="D215" s="966"/>
      <c r="E215" s="1106"/>
      <c r="F215" s="442" t="s">
        <v>3927</v>
      </c>
      <c r="G215" s="1371" t="str">
        <f>Translations!$B$2055</f>
        <v>EF of electricity produced in the installation other than by cogeneration</v>
      </c>
      <c r="H215" s="1371"/>
      <c r="I215" s="1371"/>
      <c r="J215" s="1371"/>
      <c r="K215" s="1371"/>
      <c r="L215" s="1371"/>
      <c r="M215" s="1371"/>
      <c r="N215" s="1371"/>
      <c r="O215" s="428"/>
      <c r="S215" s="110"/>
    </row>
    <row r="216" spans="1:19" ht="12.75" customHeight="1" x14ac:dyDescent="0.25">
      <c r="A216" s="92"/>
      <c r="B216" s="94"/>
      <c r="C216" s="144"/>
      <c r="D216" s="966"/>
      <c r="E216" s="1106"/>
      <c r="F216" s="442" t="s">
        <v>3928</v>
      </c>
      <c r="G216" s="1371" t="str">
        <f>Translations!$B$2056</f>
        <v>EF of electricity produced in the installation by cogeneration</v>
      </c>
      <c r="H216" s="1371"/>
      <c r="I216" s="1371"/>
      <c r="J216" s="1371"/>
      <c r="K216" s="1371"/>
      <c r="L216" s="1371"/>
      <c r="M216" s="1371"/>
      <c r="N216" s="1371"/>
      <c r="O216" s="428"/>
      <c r="S216" s="110"/>
    </row>
    <row r="217" spans="1:19" ht="12.75" customHeight="1" x14ac:dyDescent="0.25">
      <c r="A217" s="92"/>
      <c r="B217" s="94"/>
      <c r="C217" s="144"/>
      <c r="D217" s="966"/>
      <c r="E217" s="1106"/>
      <c r="F217" s="442" t="s">
        <v>3929</v>
      </c>
      <c r="G217" s="1371" t="str">
        <f>Translations!$B$2057</f>
        <v>EF of electricity produced outside the installation (received from a source with a direct technical link)</v>
      </c>
      <c r="H217" s="1371"/>
      <c r="I217" s="1371"/>
      <c r="J217" s="1371"/>
      <c r="K217" s="1371"/>
      <c r="L217" s="1371"/>
      <c r="M217" s="1371"/>
      <c r="N217" s="1371"/>
      <c r="O217" s="428"/>
      <c r="S217" s="110"/>
    </row>
    <row r="218" spans="1:19" ht="12.75" customHeight="1" x14ac:dyDescent="0.25">
      <c r="A218" s="92"/>
      <c r="B218" s="94"/>
      <c r="C218" s="144"/>
      <c r="D218" s="966"/>
      <c r="E218" s="1106"/>
      <c r="F218" s="442" t="s">
        <v>3930</v>
      </c>
      <c r="G218" s="1371" t="str">
        <f>Translations!$B$2058</f>
        <v>EF of electricity produced outside the installation (received from a producer under a power purchase agreement)</v>
      </c>
      <c r="H218" s="1371"/>
      <c r="I218" s="1371"/>
      <c r="J218" s="1371"/>
      <c r="K218" s="1371"/>
      <c r="L218" s="1371"/>
      <c r="M218" s="1371"/>
      <c r="N218" s="1371"/>
      <c r="O218" s="428"/>
      <c r="S218" s="110"/>
    </row>
    <row r="219" spans="1:19" ht="25.5" customHeight="1" x14ac:dyDescent="0.25">
      <c r="A219" s="92"/>
      <c r="B219" s="94"/>
      <c r="C219" s="144"/>
      <c r="D219" s="966"/>
      <c r="E219" s="1107"/>
      <c r="F219" s="416" t="str">
        <f>Translations!$B$460</f>
        <v>Mix</v>
      </c>
      <c r="G219" s="1371" t="str">
        <f>Translations!$B$461</f>
        <v>Where the electricity is not predominantly obtained from one source or the EF determined by more than one of the above sources, the EF is determined as a mix of the methods above.</v>
      </c>
      <c r="H219" s="1371"/>
      <c r="I219" s="1371"/>
      <c r="J219" s="1371"/>
      <c r="K219" s="1371"/>
      <c r="L219" s="1371"/>
      <c r="M219" s="1371"/>
      <c r="N219" s="1371"/>
      <c r="O219" s="428"/>
      <c r="S219" s="110"/>
    </row>
    <row r="220" spans="1:19" ht="25.5" customHeight="1" x14ac:dyDescent="0.25">
      <c r="A220" s="92"/>
      <c r="B220" s="94"/>
      <c r="C220" s="144"/>
      <c r="D220" s="967"/>
      <c r="E220" s="413" t="str">
        <f>Translations!$B$480</f>
        <v>Embedded electricity</v>
      </c>
      <c r="F220" s="417"/>
      <c r="G220" s="1380" t="str">
        <f>Translations!$B$2076</f>
        <v>Specific embedded electricity consumption of the production process, i.e. including any embedded electricity consumption in other production processes within the installation and purchased precursors.</v>
      </c>
      <c r="H220" s="1380"/>
      <c r="I220" s="1380"/>
      <c r="J220" s="1380"/>
      <c r="K220" s="1380"/>
      <c r="L220" s="1380"/>
      <c r="M220" s="1380"/>
      <c r="N220" s="1380"/>
      <c r="O220" s="428"/>
      <c r="S220" s="110"/>
    </row>
    <row r="221" spans="1:19" ht="25.5" customHeight="1" x14ac:dyDescent="0.25">
      <c r="A221" s="92"/>
      <c r="B221" s="94"/>
      <c r="C221" s="144"/>
      <c r="D221" s="967"/>
      <c r="E221" s="1383" t="str">
        <f>Translations!$B$482</f>
        <v>Special parameters for certain aggregated good types</v>
      </c>
      <c r="F221" s="1383"/>
      <c r="G221" s="1383"/>
      <c r="H221" s="1383"/>
      <c r="I221" s="1383"/>
      <c r="J221" s="1383"/>
      <c r="K221" s="1383"/>
      <c r="L221" s="1383"/>
      <c r="M221" s="1383"/>
      <c r="N221" s="1383"/>
      <c r="O221" s="428"/>
      <c r="S221" s="110"/>
    </row>
    <row r="222" spans="1:19" ht="25.5" customHeight="1" x14ac:dyDescent="0.25">
      <c r="A222" s="92"/>
      <c r="B222" s="94"/>
      <c r="C222" s="144"/>
      <c r="D222" s="967"/>
      <c r="E222" s="413" t="str">
        <f>Translations!$B$483</f>
        <v>The main reducing agent of the precursor, if known</v>
      </c>
      <c r="F222" s="414"/>
      <c r="G222" s="1371" t="str">
        <f>Translations!$B$484</f>
        <v>This parameter is relevant for the production of pig iron, direct reduced iron, crude steel and iron and steel products. Please select from the drop-down list the main reducing agent (coke or coal, natural gas, etc.) used to reduce the iron ores.</v>
      </c>
      <c r="H222" s="1371"/>
      <c r="I222" s="1371"/>
      <c r="J222" s="1371"/>
      <c r="K222" s="1371"/>
      <c r="L222" s="1371"/>
      <c r="M222" s="1371"/>
      <c r="N222" s="1371"/>
      <c r="O222" s="428"/>
      <c r="S222" s="110"/>
    </row>
    <row r="223" spans="1:19" ht="38.25" customHeight="1" x14ac:dyDescent="0.25">
      <c r="A223" s="92"/>
      <c r="B223" s="94"/>
      <c r="C223" s="144"/>
      <c r="D223" s="967"/>
      <c r="E223" s="413" t="str">
        <f>Translations!$B$485</f>
        <v>Steel mill identification number</v>
      </c>
      <c r="F223" s="414"/>
      <c r="G223" s="1371"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1"/>
      <c r="I223" s="1371"/>
      <c r="J223" s="1371"/>
      <c r="K223" s="1371"/>
      <c r="L223" s="1371"/>
      <c r="M223" s="1371"/>
      <c r="N223" s="1371"/>
      <c r="O223" s="428"/>
      <c r="S223" s="110"/>
    </row>
    <row r="224" spans="1:19" ht="25.5" customHeight="1" x14ac:dyDescent="0.25">
      <c r="A224" s="92"/>
      <c r="B224" s="94"/>
      <c r="C224" s="144"/>
      <c r="D224" s="967"/>
      <c r="E224" s="413" t="str">
        <f>Translations!$B$487</f>
        <v>% Mn</v>
      </c>
      <c r="F224" s="414"/>
      <c r="G224" s="1371" t="str">
        <f>Translations!$B$488</f>
        <v>This parameter is relevant for the production of pig iron, direct reduced iron, crude steel, iron and steel products and ferro-manganese. Please provide here the mass % of Mn in the product.</v>
      </c>
      <c r="H224" s="1371"/>
      <c r="I224" s="1371"/>
      <c r="J224" s="1371"/>
      <c r="K224" s="1371"/>
      <c r="L224" s="1371"/>
      <c r="M224" s="1371"/>
      <c r="N224" s="1371"/>
      <c r="O224" s="428"/>
      <c r="S224" s="110"/>
    </row>
    <row r="225" spans="1:19" ht="25.5" customHeight="1" x14ac:dyDescent="0.25">
      <c r="A225" s="92"/>
      <c r="B225" s="94"/>
      <c r="C225" s="144"/>
      <c r="D225" s="967"/>
      <c r="E225" s="413" t="str">
        <f>Translations!$B$489</f>
        <v>% Cr</v>
      </c>
      <c r="F225" s="414"/>
      <c r="G225" s="1371" t="str">
        <f>Translations!$B$490</f>
        <v>This parameter is relevant for the production of pig iron, direct reduced iron, crude steel, iron and steel products and ferro-chromium. Please provide here the mass % of Cr in the product.</v>
      </c>
      <c r="H225" s="1371"/>
      <c r="I225" s="1371"/>
      <c r="J225" s="1371"/>
      <c r="K225" s="1371"/>
      <c r="L225" s="1371"/>
      <c r="M225" s="1371"/>
      <c r="N225" s="1371"/>
      <c r="O225" s="428"/>
      <c r="S225" s="110"/>
    </row>
    <row r="226" spans="1:19" ht="25.5" customHeight="1" x14ac:dyDescent="0.25">
      <c r="A226" s="92"/>
      <c r="B226" s="94"/>
      <c r="C226" s="144"/>
      <c r="D226" s="967"/>
      <c r="E226" s="413" t="str">
        <f>Translations!$B$491</f>
        <v>% Ni</v>
      </c>
      <c r="F226" s="414"/>
      <c r="G226" s="1371" t="str">
        <f>Translations!$B$492</f>
        <v>This parameter is relevant for the production of pig iron, direct reduced iron, crude steel, iron and steel products and ferro-nickel. Please provide here the mass % of Ni in the product.</v>
      </c>
      <c r="H226" s="1371"/>
      <c r="I226" s="1371"/>
      <c r="J226" s="1371"/>
      <c r="K226" s="1371"/>
      <c r="L226" s="1371"/>
      <c r="M226" s="1371"/>
      <c r="N226" s="1371"/>
      <c r="O226" s="428"/>
      <c r="S226" s="110"/>
    </row>
    <row r="227" spans="1:19" ht="25.5" customHeight="1" x14ac:dyDescent="0.25">
      <c r="A227" s="92"/>
      <c r="B227" s="94"/>
      <c r="C227" s="144"/>
      <c r="D227" s="967"/>
      <c r="E227" s="413" t="str">
        <f>Translations!$B$493</f>
        <v>% other alloys</v>
      </c>
      <c r="F227" s="414"/>
      <c r="G227" s="1371" t="str">
        <f>Translations!$B$494</f>
        <v>This parameter is relevant for the production of pig iron, direct reduced iron, crude steel and iron and steel products. Please provide here the mass % of other alloy elements in the product.</v>
      </c>
      <c r="H227" s="1371"/>
      <c r="I227" s="1371"/>
      <c r="J227" s="1371"/>
      <c r="K227" s="1371"/>
      <c r="L227" s="1371"/>
      <c r="M227" s="1371"/>
      <c r="N227" s="1371"/>
      <c r="O227" s="428"/>
      <c r="S227" s="110"/>
    </row>
    <row r="228" spans="1:19" ht="25.5" customHeight="1" x14ac:dyDescent="0.25">
      <c r="A228" s="92"/>
      <c r="B228" s="94"/>
      <c r="C228" s="144"/>
      <c r="D228" s="967"/>
      <c r="E228" s="413" t="str">
        <f>Translations!$B$495</f>
        <v>% carbon</v>
      </c>
      <c r="F228" s="414"/>
      <c r="G228" s="1371" t="str">
        <f>Translations!$B$496</f>
        <v>This parameter is relevant for the production of ferro-manganese, ferro-chromium and ferro-nickel. Please provide here the mass % of carbon in the product.</v>
      </c>
      <c r="H228" s="1371"/>
      <c r="I228" s="1371"/>
      <c r="J228" s="1371"/>
      <c r="K228" s="1371"/>
      <c r="L228" s="1371"/>
      <c r="M228" s="1371"/>
      <c r="N228" s="1371"/>
      <c r="O228" s="428"/>
      <c r="S228" s="110"/>
    </row>
    <row r="229" spans="1:19" ht="25.5" customHeight="1" x14ac:dyDescent="0.25">
      <c r="A229" s="92"/>
      <c r="B229" s="94"/>
      <c r="C229" s="144"/>
      <c r="D229" s="967"/>
      <c r="E229" s="413" t="str">
        <f>Translations!$B$497</f>
        <v>t scrap per t steel</v>
      </c>
      <c r="F229" s="414"/>
      <c r="G229" s="1371" t="str">
        <f>Translations!$B$498</f>
        <v>This parameter is relevant for the production of crude steel and iron and steel products. Please provide here the mass % of tonne scrap used per tonne of steel produced.</v>
      </c>
      <c r="H229" s="1371"/>
      <c r="I229" s="1371"/>
      <c r="J229" s="1371"/>
      <c r="K229" s="1371"/>
      <c r="L229" s="1371"/>
      <c r="M229" s="1371"/>
      <c r="N229" s="1371"/>
      <c r="O229" s="428"/>
      <c r="S229" s="110"/>
    </row>
    <row r="230" spans="1:19" ht="25.5" customHeight="1" x14ac:dyDescent="0.25">
      <c r="A230" s="92"/>
      <c r="B230" s="94"/>
      <c r="C230" s="144"/>
      <c r="D230" s="967"/>
      <c r="E230" s="413" t="str">
        <f>Translations!$B$499</f>
        <v>% other materials</v>
      </c>
      <c r="F230" s="414"/>
      <c r="G230" s="1371" t="str">
        <f>Translations!$B$500</f>
        <v>This parameter is relevant for the production of the aggregated good iron and steel products. Please provide here the mass % of materials contained which are not iron or steel, if their mass is more than 1-5% of the total good’s mass.</v>
      </c>
      <c r="H230" s="1371"/>
      <c r="I230" s="1371"/>
      <c r="J230" s="1371"/>
      <c r="K230" s="1371"/>
      <c r="L230" s="1371"/>
      <c r="M230" s="1371"/>
      <c r="N230" s="1371"/>
      <c r="O230" s="428"/>
      <c r="S230" s="110"/>
    </row>
    <row r="231" spans="1:19" ht="25.5" customHeight="1" x14ac:dyDescent="0.25">
      <c r="A231" s="92"/>
      <c r="B231" s="94"/>
      <c r="C231" s="144"/>
      <c r="D231" s="967"/>
      <c r="E231" s="413" t="str">
        <f>Translations!$B$503</f>
        <v>% pre-consumer scrap</v>
      </c>
      <c r="F231" s="414"/>
      <c r="G231" s="1371" t="str">
        <f>Translations!$B$504</f>
        <v>This parameter is relevant for the production of crude steel, unwrought aluminium and aluminium products. Please provide here the mass % of tonne pre-consumer scrap used per tonne of steel/aluminium produced.</v>
      </c>
      <c r="H231" s="1371"/>
      <c r="I231" s="1371"/>
      <c r="J231" s="1371"/>
      <c r="K231" s="1371"/>
      <c r="L231" s="1371"/>
      <c r="M231" s="1371"/>
      <c r="N231" s="1371"/>
      <c r="O231" s="428"/>
      <c r="S231" s="110"/>
    </row>
    <row r="232" spans="1:19" ht="25.5" customHeight="1" x14ac:dyDescent="0.25">
      <c r="A232" s="92"/>
      <c r="B232" s="94"/>
      <c r="C232" s="144"/>
      <c r="D232" s="967"/>
      <c r="E232" s="413" t="str">
        <f>Translations!$B$501</f>
        <v>t scrap per t aluminium</v>
      </c>
      <c r="F232" s="414"/>
      <c r="G232" s="1371" t="str">
        <f>Translations!$B$502</f>
        <v>This parameter is relevant for the production of unwrought aluminium and aluminium products. Please provide here the mass % of tonne scrap used per tonne of aluminium produced.</v>
      </c>
      <c r="H232" s="1371"/>
      <c r="I232" s="1371"/>
      <c r="J232" s="1371"/>
      <c r="K232" s="1371"/>
      <c r="L232" s="1371"/>
      <c r="M232" s="1371"/>
      <c r="N232" s="1371"/>
      <c r="O232" s="428"/>
      <c r="S232" s="110"/>
    </row>
    <row r="233" spans="1:19" ht="25.5" customHeight="1" x14ac:dyDescent="0.25">
      <c r="A233" s="92"/>
      <c r="B233" s="94"/>
      <c r="C233" s="144"/>
      <c r="D233" s="967"/>
      <c r="E233" s="413" t="str">
        <f>Translations!$B$505</f>
        <v>% non-aluminium elements</v>
      </c>
      <c r="F233" s="414"/>
      <c r="G233" s="1371" t="str">
        <f>Translations!$B$506</f>
        <v>This parameter is relevant for the production of unwrought aluminium and aluminium products. Please provide here the mass % of elements contained which are not aluminium, if their mass is more than 1% of the total good’s mass.</v>
      </c>
      <c r="H233" s="1371"/>
      <c r="I233" s="1371"/>
      <c r="J233" s="1371"/>
      <c r="K233" s="1371"/>
      <c r="L233" s="1371"/>
      <c r="M233" s="1371"/>
      <c r="N233" s="1371"/>
      <c r="O233" s="428"/>
      <c r="S233" s="110"/>
    </row>
    <row r="234" spans="1:19" ht="25.95" customHeight="1" x14ac:dyDescent="0.25">
      <c r="A234" s="92"/>
      <c r="B234" s="94"/>
      <c r="C234" s="144"/>
      <c r="D234" s="967"/>
      <c r="E234" s="413" t="str">
        <f>Translations!$B$507</f>
        <v>Clinker factor</v>
      </c>
      <c r="F234" s="414"/>
      <c r="G234" s="1371" t="str">
        <f>Translations!$B$2078</f>
        <v>This parameter is relevant for the production of cement. Please provide here the clinker factor (i.e. clinker to cement ratio), expressed as mass % of clinker content in the cement.</v>
      </c>
      <c r="H234" s="1371"/>
      <c r="I234" s="1371"/>
      <c r="J234" s="1371"/>
      <c r="K234" s="1371"/>
      <c r="L234" s="1371"/>
      <c r="M234" s="1371"/>
      <c r="N234" s="1371"/>
      <c r="O234" s="428"/>
      <c r="S234" s="110"/>
    </row>
    <row r="235" spans="1:19" ht="25.5" customHeight="1" x14ac:dyDescent="0.25">
      <c r="A235" s="92"/>
      <c r="B235" s="94"/>
      <c r="C235" s="144"/>
      <c r="D235" s="967"/>
      <c r="E235" s="413" t="str">
        <f>Translations!$B$509</f>
        <v>Calcined or not</v>
      </c>
      <c r="F235" s="414"/>
      <c r="G235" s="1371" t="str">
        <f>Translations!$B$510</f>
        <v>This parameter is relevant for the production of calcined clay. Please select here from the drop-down list whether the clay is calcined or not.</v>
      </c>
      <c r="H235" s="1371"/>
      <c r="I235" s="1371"/>
      <c r="J235" s="1371"/>
      <c r="K235" s="1371"/>
      <c r="L235" s="1371"/>
      <c r="M235" s="1371"/>
      <c r="N235" s="1371"/>
      <c r="O235" s="428"/>
      <c r="S235" s="110"/>
    </row>
    <row r="236" spans="1:19" ht="25.5" customHeight="1" x14ac:dyDescent="0.25">
      <c r="A236" s="92"/>
      <c r="B236" s="94"/>
      <c r="C236" s="144"/>
      <c r="D236" s="967"/>
      <c r="E236" s="413" t="str">
        <f>Translations!$B$511</f>
        <v>Concentration, if hydrous solution</v>
      </c>
      <c r="F236" s="414"/>
      <c r="G236" s="1371" t="str">
        <f>Translations!$B$2079</f>
        <v>This parameter is relevant for the production of ammonia. Please provide here the concentration of ammonia, if in hydrous solution, expressed as %, or enter 100% for pure/anhydrous ammonia.</v>
      </c>
      <c r="H236" s="1371"/>
      <c r="I236" s="1371"/>
      <c r="J236" s="1371"/>
      <c r="K236" s="1371"/>
      <c r="L236" s="1371"/>
      <c r="M236" s="1371"/>
      <c r="N236" s="1371"/>
      <c r="O236" s="428"/>
      <c r="S236" s="110"/>
    </row>
    <row r="237" spans="1:19" ht="25.5" customHeight="1" x14ac:dyDescent="0.25">
      <c r="A237" s="92"/>
      <c r="B237" s="94"/>
      <c r="C237" s="144"/>
      <c r="D237" s="967"/>
      <c r="E237" s="413" t="str">
        <f>Translations!$B$513</f>
        <v>% nitric acid</v>
      </c>
      <c r="F237" s="414"/>
      <c r="G237" s="1371" t="str">
        <f>Translations!$B$514</f>
        <v>This parameter is relevant for the production of nitric acid. Please provide here the mass % of nitric acid in the product (i.e. the purity).</v>
      </c>
      <c r="H237" s="1371"/>
      <c r="I237" s="1371"/>
      <c r="J237" s="1371"/>
      <c r="K237" s="1371"/>
      <c r="L237" s="1371"/>
      <c r="M237" s="1371"/>
      <c r="N237" s="1371"/>
      <c r="O237" s="428"/>
      <c r="S237" s="110"/>
    </row>
    <row r="238" spans="1:19" x14ac:dyDescent="0.25">
      <c r="A238" s="92"/>
      <c r="B238" s="94"/>
      <c r="C238" s="144"/>
      <c r="D238" s="967"/>
      <c r="E238" s="413" t="str">
        <f>Translations!$B$515</f>
        <v>% urea</v>
      </c>
      <c r="F238" s="414"/>
      <c r="G238" s="1371" t="str">
        <f>Translations!$B$516</f>
        <v>This parameter is relevant for the production of urea. Please provide here the mass % of urea in the product (i.e. the purity).</v>
      </c>
      <c r="H238" s="1371"/>
      <c r="I238" s="1371"/>
      <c r="J238" s="1371"/>
      <c r="K238" s="1371"/>
      <c r="L238" s="1371"/>
      <c r="M238" s="1371"/>
      <c r="N238" s="1371"/>
      <c r="O238" s="428"/>
      <c r="S238" s="110"/>
    </row>
    <row r="239" spans="1:19" x14ac:dyDescent="0.25">
      <c r="A239" s="92"/>
      <c r="B239" s="94"/>
      <c r="C239" s="144"/>
      <c r="D239" s="967"/>
      <c r="E239" s="413" t="str">
        <f>Translations!$B$517</f>
        <v>% N contained</v>
      </c>
      <c r="F239" s="414"/>
      <c r="G239" s="1371" t="str">
        <f>Translations!$B$518</f>
        <v>This parameter is relevant for the production of urea. Please provide here the mass % nitrogen in the product.</v>
      </c>
      <c r="H239" s="1371"/>
      <c r="I239" s="1371"/>
      <c r="J239" s="1371"/>
      <c r="K239" s="1371"/>
      <c r="L239" s="1371"/>
      <c r="M239" s="1371"/>
      <c r="N239" s="1371"/>
      <c r="O239" s="428"/>
      <c r="S239" s="110"/>
    </row>
    <row r="240" spans="1:19" ht="25.5" customHeight="1" x14ac:dyDescent="0.25">
      <c r="A240" s="92"/>
      <c r="B240" s="94"/>
      <c r="C240" s="144"/>
      <c r="D240" s="967"/>
      <c r="E240" s="413" t="str">
        <f>Translations!$B$519</f>
        <v>% N as ammonium (NH4+)</v>
      </c>
      <c r="F240" s="414"/>
      <c r="G240" s="1371" t="str">
        <f>Translations!$B$520</f>
        <v>This parameter is relevant for the production of mixed fertilisers. Please provide here the mass % content of nitrogen as ammonium ion.</v>
      </c>
      <c r="H240" s="1371"/>
      <c r="I240" s="1371"/>
      <c r="J240" s="1371"/>
      <c r="K240" s="1371"/>
      <c r="L240" s="1371"/>
      <c r="M240" s="1371"/>
      <c r="N240" s="1371"/>
      <c r="O240" s="428"/>
      <c r="S240" s="110"/>
    </row>
    <row r="241" spans="1:19" ht="25.5" customHeight="1" x14ac:dyDescent="0.25">
      <c r="A241" s="92"/>
      <c r="B241" s="94"/>
      <c r="C241" s="144"/>
      <c r="D241" s="967"/>
      <c r="E241" s="413" t="str">
        <f>Translations!$B$521</f>
        <v>% N as nitrate (NO3–)</v>
      </c>
      <c r="F241" s="414"/>
      <c r="G241" s="1371" t="str">
        <f>Translations!$B$522</f>
        <v>This parameter is relevant for the production of mixed fertilisers. Please provide here the mass % content of nitrogen as nitrate ion.</v>
      </c>
      <c r="H241" s="1371"/>
      <c r="I241" s="1371"/>
      <c r="J241" s="1371"/>
      <c r="K241" s="1371"/>
      <c r="L241" s="1371"/>
      <c r="M241" s="1371"/>
      <c r="N241" s="1371"/>
      <c r="O241" s="428"/>
      <c r="S241" s="110"/>
    </row>
    <row r="242" spans="1:19" ht="12.75" customHeight="1" x14ac:dyDescent="0.25">
      <c r="A242" s="92"/>
      <c r="B242" s="94"/>
      <c r="C242" s="144"/>
      <c r="D242" s="967"/>
      <c r="E242" s="413" t="str">
        <f>Translations!$B$523</f>
        <v>% N as Urea</v>
      </c>
      <c r="F242" s="414"/>
      <c r="G242" s="1371" t="str">
        <f>Translations!$B$524</f>
        <v>This parameter is relevant for the production of mixed fertilisers. Please provide here the mass % content of urea.</v>
      </c>
      <c r="H242" s="1371"/>
      <c r="I242" s="1371"/>
      <c r="J242" s="1371"/>
      <c r="K242" s="1371"/>
      <c r="L242" s="1371"/>
      <c r="M242" s="1371"/>
      <c r="N242" s="1371"/>
      <c r="O242" s="428"/>
      <c r="S242" s="110"/>
    </row>
    <row r="243" spans="1:19" ht="25.5" customHeight="1" x14ac:dyDescent="0.25">
      <c r="A243" s="92"/>
      <c r="B243" s="94"/>
      <c r="C243" s="144"/>
      <c r="D243" s="967"/>
      <c r="E243" s="413" t="str">
        <f>Translations!$B$525</f>
        <v>% N in other (organic) forms</v>
      </c>
      <c r="F243" s="417"/>
      <c r="G243" s="1371" t="str">
        <f>Translations!$B$526</f>
        <v>This parameter is relevant for the production of mixed fertilisers. Please provide here the mass % content of nitrogen in other forms.</v>
      </c>
      <c r="H243" s="1371"/>
      <c r="I243" s="1371"/>
      <c r="J243" s="1371"/>
      <c r="K243" s="1371"/>
      <c r="L243" s="1371"/>
      <c r="M243" s="1371"/>
      <c r="N243" s="1371"/>
      <c r="O243" s="428"/>
      <c r="S243" s="110"/>
    </row>
    <row r="244" spans="1:19" ht="25.5" customHeight="1" x14ac:dyDescent="0.25">
      <c r="A244" s="92"/>
      <c r="B244" s="94"/>
      <c r="C244" s="144"/>
      <c r="D244" s="967"/>
      <c r="E244" s="1383" t="str">
        <f>Translations!$B$527</f>
        <v>Information on carbon price due</v>
      </c>
      <c r="F244" s="1383"/>
      <c r="G244" s="1383"/>
      <c r="H244" s="1383"/>
      <c r="I244" s="1383"/>
      <c r="J244" s="1383"/>
      <c r="K244" s="1383"/>
      <c r="L244" s="1383"/>
      <c r="M244" s="1383"/>
      <c r="N244" s="1383"/>
      <c r="O244" s="428"/>
      <c r="S244" s="110"/>
    </row>
    <row r="245" spans="1:19" ht="38.25" customHeight="1" x14ac:dyDescent="0.25">
      <c r="A245" s="92"/>
      <c r="B245" s="94"/>
      <c r="C245" s="144"/>
      <c r="D245" s="967"/>
      <c r="E245" s="444" t="str">
        <f>Translations!$B$2080</f>
        <v>General note:</v>
      </c>
      <c r="F245" s="450"/>
      <c r="G245" s="1390"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0"/>
      <c r="I245" s="1390"/>
      <c r="J245" s="1390"/>
      <c r="K245" s="1390"/>
      <c r="L245" s="1390"/>
      <c r="M245" s="1390"/>
      <c r="N245" s="1390"/>
      <c r="O245" s="428"/>
      <c r="S245" s="110"/>
    </row>
    <row r="246" spans="1:19" ht="12.75" customHeight="1" x14ac:dyDescent="0.25">
      <c r="A246" s="92"/>
      <c r="B246" s="94"/>
      <c r="C246" s="144"/>
      <c r="D246" s="967"/>
      <c r="E246" s="451"/>
      <c r="F246" s="443"/>
      <c r="G246" s="1391" t="str">
        <f ca="1">HYPERLINK("#"&amp;ADDRESS(MATCH($S246,F_Tools!$S:$S,0),3,,,F_Tools!$U$2),CONST_LinkToCPTool)</f>
        <v>Please click on this link to go to the "tool for calculation of the carbon price due".</v>
      </c>
      <c r="H246" s="1373"/>
      <c r="I246" s="1373"/>
      <c r="J246" s="1373"/>
      <c r="K246" s="1373"/>
      <c r="L246" s="1373"/>
      <c r="M246" s="1373"/>
      <c r="N246" s="1373"/>
      <c r="O246" s="428"/>
      <c r="R246" s="104" t="s">
        <v>4016</v>
      </c>
      <c r="S246" s="105">
        <v>2</v>
      </c>
    </row>
    <row r="247" spans="1:19" ht="25.5" customHeight="1" x14ac:dyDescent="0.25">
      <c r="A247" s="92"/>
      <c r="B247" s="94"/>
      <c r="C247" s="144"/>
      <c r="D247" s="967"/>
      <c r="E247" s="413" t="str">
        <f>Translations!$B$530</f>
        <v>Type of instrument (carbon pricing)</v>
      </c>
      <c r="F247" s="414"/>
      <c r="G247" s="1371" t="str">
        <f>Translations!$B$531</f>
        <v>Please select from the drop-down list whether the type of carbon price is an emissions trading system (ETS), a carbon tax, a combination of instruments, or other type of carbon pricing instrument.</v>
      </c>
      <c r="H247" s="1371"/>
      <c r="I247" s="1371"/>
      <c r="J247" s="1371"/>
      <c r="K247" s="1371"/>
      <c r="L247" s="1371"/>
      <c r="M247" s="1371"/>
      <c r="N247" s="1371"/>
      <c r="O247" s="428"/>
      <c r="S247" s="110"/>
    </row>
    <row r="248" spans="1:19" ht="34.200000000000003" x14ac:dyDescent="0.25">
      <c r="A248" s="92"/>
      <c r="B248" s="94"/>
      <c r="C248" s="144"/>
      <c r="D248" s="967"/>
      <c r="E248" s="413" t="str">
        <f>Translations!$B$532</f>
        <v>Share of total embedded emissions covered by the carbon price</v>
      </c>
      <c r="F248" s="414"/>
      <c r="G248" s="1371"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1"/>
      <c r="I248" s="1371"/>
      <c r="J248" s="1371"/>
      <c r="K248" s="1371"/>
      <c r="L248" s="1371"/>
      <c r="M248" s="1371"/>
      <c r="N248" s="1371"/>
      <c r="O248" s="428"/>
      <c r="S248" s="110"/>
    </row>
    <row r="249" spans="1:19" ht="34.200000000000003" x14ac:dyDescent="0.25">
      <c r="A249" s="92"/>
      <c r="B249" s="94"/>
      <c r="C249" s="144"/>
      <c r="D249" s="967"/>
      <c r="E249" s="413" t="str">
        <f>Translations!$B$608</f>
        <v>Embedded emissions covered by the carbon price</v>
      </c>
      <c r="F249" s="414"/>
      <c r="G249" s="1371" t="str">
        <f>Translations!$B$2081</f>
        <v>Based on your input on the share of embedded emissions covered by a carbon price, the related part of the specific embedded emissions of the good are displayed here in t CO2e per tonne product (or per MWh electricity).</v>
      </c>
      <c r="H249" s="1376"/>
      <c r="I249" s="1376"/>
      <c r="J249" s="1376"/>
      <c r="K249" s="1376"/>
      <c r="L249" s="1376"/>
      <c r="M249" s="1376"/>
      <c r="N249" s="1376"/>
      <c r="O249" s="428"/>
      <c r="S249" s="110"/>
    </row>
    <row r="250" spans="1:19" ht="25.5" customHeight="1" x14ac:dyDescent="0.25">
      <c r="A250" s="92"/>
      <c r="B250" s="94"/>
      <c r="C250" s="144"/>
      <c r="D250" s="967"/>
      <c r="E250" s="413" t="str">
        <f>Translations!$B$534</f>
        <v>Currency</v>
      </c>
      <c r="F250" s="414"/>
      <c r="G250" s="1371" t="str">
        <f>Translations!$B$2082</f>
        <v>Please select the code for the applicable currency in which the carbon price is being due. The next column displays the full name of the currency.</v>
      </c>
      <c r="H250" s="1371"/>
      <c r="I250" s="1371"/>
      <c r="J250" s="1371"/>
      <c r="K250" s="1371"/>
      <c r="L250" s="1371"/>
      <c r="M250" s="1371"/>
      <c r="N250" s="1371"/>
      <c r="O250" s="428"/>
      <c r="S250" s="110"/>
    </row>
    <row r="251" spans="1:19" ht="36" customHeight="1" x14ac:dyDescent="0.25">
      <c r="A251" s="92"/>
      <c r="B251" s="94"/>
      <c r="C251" s="144"/>
      <c r="D251" s="967"/>
      <c r="E251" s="413" t="str">
        <f>Translations!$B$350</f>
        <v>Carbon price (CP) due (local currency)</v>
      </c>
      <c r="F251" s="414"/>
      <c r="G251" s="1371"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1"/>
      <c r="I251" s="1371"/>
      <c r="J251" s="1371"/>
      <c r="K251" s="1371"/>
      <c r="L251" s="1371"/>
      <c r="M251" s="1371"/>
      <c r="N251" s="1371"/>
      <c r="O251" s="428"/>
      <c r="S251" s="110"/>
    </row>
    <row r="252" spans="1:19" ht="25.65" customHeight="1" x14ac:dyDescent="0.25">
      <c r="A252" s="92"/>
      <c r="B252" s="94"/>
      <c r="C252" s="144"/>
      <c r="D252" s="967"/>
      <c r="E252" s="413" t="str">
        <f>Translations!$B$537</f>
        <v>Type of rebate</v>
      </c>
      <c r="F252" s="414"/>
      <c r="G252" s="1371" t="str">
        <f>Translations!$B$538</f>
        <v>Please select from the drop-down list whether the type of rebate or other form of compensation is via free allocation, financial compensation, tax deduction, a combination or any other type of rebate or compensation.</v>
      </c>
      <c r="H252" s="1371"/>
      <c r="I252" s="1371"/>
      <c r="J252" s="1371"/>
      <c r="K252" s="1371"/>
      <c r="L252" s="1371"/>
      <c r="M252" s="1371"/>
      <c r="N252" s="1371"/>
      <c r="O252" s="428"/>
      <c r="S252" s="110"/>
    </row>
    <row r="253" spans="1:19" ht="36" customHeight="1" x14ac:dyDescent="0.25">
      <c r="A253" s="92"/>
      <c r="B253" s="94"/>
      <c r="C253" s="144"/>
      <c r="D253" s="967"/>
      <c r="E253" s="413" t="str">
        <f>Translations!$B$539</f>
        <v>Share of embedded emissions covered by the rebate</v>
      </c>
      <c r="F253" s="414"/>
      <c r="G253" s="1371"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1"/>
      <c r="I253" s="1371"/>
      <c r="J253" s="1371"/>
      <c r="K253" s="1371"/>
      <c r="L253" s="1371"/>
      <c r="M253" s="1371"/>
      <c r="N253" s="1371"/>
      <c r="O253" s="428"/>
      <c r="S253" s="110"/>
    </row>
    <row r="254" spans="1:19" ht="25.5" customHeight="1" x14ac:dyDescent="0.25">
      <c r="A254" s="92"/>
      <c r="B254" s="94"/>
      <c r="C254" s="144"/>
      <c r="D254" s="967"/>
      <c r="E254" s="413" t="str">
        <f>Translations!$B$609</f>
        <v>Embedded emissions covered by rebate</v>
      </c>
      <c r="F254" s="414"/>
      <c r="G254" s="1371" t="str">
        <f>Translations!$B$2084</f>
        <v>Based on your input on the share of embedded emissions covered by a carbon price rebate, the related part of the specific embedded emissions of the good are displayed here in t CO2e per tonne product (or per MWh electricity).</v>
      </c>
      <c r="H254" s="1376"/>
      <c r="I254" s="1376"/>
      <c r="J254" s="1376"/>
      <c r="K254" s="1376"/>
      <c r="L254" s="1376"/>
      <c r="M254" s="1376"/>
      <c r="N254" s="1376"/>
      <c r="O254" s="428"/>
      <c r="S254" s="110"/>
    </row>
    <row r="255" spans="1:19" ht="25.5" customHeight="1" x14ac:dyDescent="0.25">
      <c r="A255" s="92"/>
      <c r="B255" s="94"/>
      <c r="C255" s="144"/>
      <c r="D255" s="967"/>
      <c r="E255" s="413" t="str">
        <f>Translations!$B$1872</f>
        <v>Amount of rebate (per produced t or MWh)</v>
      </c>
      <c r="F255" s="414"/>
      <c r="G255" s="1371" t="str">
        <f>Translations!$B$2085</f>
        <v>Please enter here the rebate per tonne or MWh (as applicable) of product covered by the rebate in the relevant currency. Where the tool in sheet F was used, values should equal results displayed in column M there.</v>
      </c>
      <c r="H255" s="1371"/>
      <c r="I255" s="1371"/>
      <c r="J255" s="1371"/>
      <c r="K255" s="1371"/>
      <c r="L255" s="1371"/>
      <c r="M255" s="1371"/>
      <c r="N255" s="1371"/>
      <c r="O255" s="428"/>
      <c r="S255" s="110"/>
    </row>
    <row r="256" spans="1:19" ht="25.5" customHeight="1" x14ac:dyDescent="0.25">
      <c r="A256" s="92"/>
      <c r="B256" s="94"/>
      <c r="C256" s="144"/>
      <c r="D256" s="914"/>
      <c r="E256" s="243" t="str">
        <f>Translations!$B$353</f>
        <v>Result: Effective CP due (per produced t or MWh)</v>
      </c>
      <c r="F256" s="243"/>
      <c r="G256" s="1378" t="str">
        <f>Translations!$B$2086</f>
        <v>The result is the effective carbon price due per tonne of CO2 equivalent, i.e. the carbon price due less any rebates. Where the tool in sheet F was used, values should equal results displayed in column N there.</v>
      </c>
      <c r="H256" s="1378"/>
      <c r="I256" s="1378"/>
      <c r="J256" s="1378"/>
      <c r="K256" s="1378"/>
      <c r="L256" s="1378"/>
      <c r="M256" s="1378"/>
      <c r="N256" s="1378"/>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77" t="str">
        <f ca="1">HYPERLINK("#"&amp;S258,CONST_LinkFromGuidance)</f>
        <v>Please click on this link if you want to go back to the relevant section for data entry.</v>
      </c>
      <c r="F258" s="1377"/>
      <c r="G258" s="1377"/>
      <c r="H258" s="1377"/>
      <c r="I258" s="1377"/>
      <c r="J258" s="1377"/>
      <c r="K258" s="1377"/>
      <c r="L258" s="1377"/>
      <c r="M258" s="1377"/>
      <c r="N258" s="1377"/>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E182:N182"/>
    <mergeCell ref="E187:N187"/>
    <mergeCell ref="E183:N183"/>
    <mergeCell ref="E184:N184"/>
    <mergeCell ref="E186:N186"/>
    <mergeCell ref="E185:N185"/>
    <mergeCell ref="G204:N204"/>
    <mergeCell ref="G205:N205"/>
    <mergeCell ref="G207:N209"/>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topLeftCell="B1"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3" width="11.44140625" style="93"/>
    <col min="14" max="14" width="11.6640625" style="93" bestFit="1" customWidth="1"/>
    <col min="15"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75" t="str">
        <f>Translations!$B$544</f>
        <v>Summary of production processes</v>
      </c>
      <c r="C2" s="1176"/>
      <c r="D2" s="1176"/>
      <c r="E2" s="1177"/>
      <c r="F2" s="1184" t="str">
        <f>Translations!$B$11</f>
        <v>Navigation Area:</v>
      </c>
      <c r="G2" s="1185"/>
      <c r="H2" s="1186" t="str">
        <f ca="1">HYPERLINK("#"&amp;ADDRESS(2,3,,,a_Contents!$U$2),a_Contents!$B$2)</f>
        <v>Table of contents</v>
      </c>
      <c r="I2" s="1187"/>
      <c r="J2" s="1186" t="str">
        <f ca="1">HYPERLINK("#"&amp;ADDRESS(2,3,,,G_FurtherGuidance!$U$2),G_FurtherGuidance!$B$2)</f>
        <v>Further Guidance</v>
      </c>
      <c r="K2" s="1187"/>
      <c r="L2" s="1186"/>
      <c r="M2" s="1187"/>
      <c r="N2" s="1186" t="str">
        <f ca="1">HYPERLINK("#"&amp;ADDRESS(2,3,,,Summary_Products!$BF$2),Summary_Products!$BF$2)</f>
        <v>Summary_Products</v>
      </c>
      <c r="O2" s="1187"/>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78"/>
      <c r="C3" s="1179"/>
      <c r="D3" s="1179"/>
      <c r="E3" s="1180"/>
      <c r="F3" s="1171"/>
      <c r="G3" s="1171"/>
      <c r="H3" s="1171" t="str">
        <f>IFERROR(HYPERLINK("#"&amp;ADDRESS(ROW($A$1)+MATCH(V3,$A:$A,0)-1,3),INDEX($V:$V,MATCH(V3,$A:$A,0))),"")</f>
        <v>Installation &amp; processes</v>
      </c>
      <c r="I3" s="1171"/>
      <c r="J3" s="1171" t="str">
        <f>IFERROR(HYPERLINK("#"&amp;ADDRESS(ROW($A$1)+MATCH(X3,$A:$A,0)-1,3),INDEX($V:$V,MATCH(X3,$A:$A,0))),"")</f>
        <v>GHG &amp; SEE</v>
      </c>
      <c r="K3" s="1171"/>
      <c r="L3" s="1171" t="str">
        <f>IFERROR(HYPERLINK("#"&amp;ADDRESS(ROW($A$1)+MATCH(Z3,$A:$A,0)-1,3),INDEX($V:$V,MATCH(Z3,$A:$A,0))),"")</f>
        <v>Detailed overview</v>
      </c>
      <c r="M3" s="1171"/>
      <c r="N3" s="1171" t="str">
        <f>IFERROR(HYPERLINK("#"&amp;ADDRESS(ROW($A$1)+MATCH(AB3,$A:$A,0)-1,3),INDEX($V:$V,MATCH(AB3,$A:$A,0))),"")</f>
        <v/>
      </c>
      <c r="O3" s="1171"/>
      <c r="P3" s="144"/>
      <c r="Q3" s="971"/>
      <c r="R3" s="971"/>
      <c r="S3" s="971"/>
      <c r="T3" s="428"/>
      <c r="V3" s="302">
        <v>1</v>
      </c>
      <c r="W3" s="303"/>
      <c r="X3" s="303">
        <v>2</v>
      </c>
      <c r="Y3" s="303"/>
      <c r="Z3" s="303">
        <v>3</v>
      </c>
      <c r="AA3" s="303"/>
      <c r="AB3" s="304">
        <v>4</v>
      </c>
    </row>
    <row r="4" spans="1:41" ht="14.4" customHeight="1" thickBot="1" x14ac:dyDescent="0.35">
      <c r="A4" s="92"/>
      <c r="B4" s="1181"/>
      <c r="C4" s="1182"/>
      <c r="D4" s="1182"/>
      <c r="E4" s="1183"/>
      <c r="F4" s="1171"/>
      <c r="G4" s="1171"/>
      <c r="H4" s="1171" t="str">
        <f>IFERROR(HYPERLINK("#"&amp;ADDRESS(ROW($A$1)+MATCH(V4,$A:$A,0)-1,3),INDEX($V:$V,MATCH(V4,$A:$A,0))),"")</f>
        <v/>
      </c>
      <c r="I4" s="1171"/>
      <c r="J4" s="1171" t="str">
        <f>IFERROR(HYPERLINK("#"&amp;ADDRESS(ROW($A$1)+MATCH(X4,$A:$A,0)-1,3),INDEX($V:$V,MATCH(X4,$A:$A,0))),"")</f>
        <v/>
      </c>
      <c r="K4" s="1171"/>
      <c r="L4" s="1171" t="str">
        <f>IFERROR(HYPERLINK("#"&amp;ADDRESS(ROW($A$1)+MATCH(Z4,$A:$A,0)-1,3),INDEX($V:$V,MATCH(Z4,$A:$A,0))),"")</f>
        <v/>
      </c>
      <c r="M4" s="1171"/>
      <c r="N4" s="1171" t="str">
        <f>IFERROR(HYPERLINK("#"&amp;ADDRESS(ROW($A$1)+MATCH(AB4,$A:$A,0)-1,3),INDEX($V:$V,MATCH(AB4,$A:$A,0))),"")</f>
        <v/>
      </c>
      <c r="O4" s="1171"/>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83" t="str">
        <f>IF(A_InstData!I20="","",A_InstData!I20)</f>
        <v>Example Cement Producer</v>
      </c>
      <c r="H10" s="1283"/>
      <c r="I10" s="1283"/>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5" t="str">
        <f>IF(A_InstData!I21="","",A_InstData!I21)</f>
        <v>Cement street 2023</v>
      </c>
      <c r="H11" s="1235"/>
      <c r="I11" s="1235"/>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5" t="str">
        <f>IF(A_InstData!I22="","",A_InstData!I22)</f>
        <v>Clinker and cement</v>
      </c>
      <c r="H12" s="1235"/>
      <c r="I12" s="1235"/>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5" t="str">
        <f>IF(A_InstData!I25="","",A_InstData!I25)</f>
        <v>Example City</v>
      </c>
      <c r="H13" s="1235"/>
      <c r="I13" s="1235"/>
      <c r="J13" s="144"/>
      <c r="L13" s="166" t="str">
        <f>Translations!$B$2112</f>
        <v>Carbon price instrument:</v>
      </c>
      <c r="M13" s="1433" t="s">
        <v>2761</v>
      </c>
      <c r="N13" s="1434"/>
      <c r="O13" s="1434"/>
      <c r="P13" s="1434"/>
      <c r="Q13" s="1434"/>
      <c r="R13" s="1434"/>
      <c r="S13" s="1435"/>
      <c r="T13" s="428"/>
    </row>
    <row r="14" spans="1:41" ht="12.75" customHeight="1" x14ac:dyDescent="0.3">
      <c r="A14" s="92"/>
      <c r="B14" s="94"/>
      <c r="C14" s="144"/>
      <c r="D14" s="144"/>
      <c r="E14" s="144" t="str">
        <f>Translations!$B$80</f>
        <v>Country:</v>
      </c>
      <c r="F14" s="144"/>
      <c r="G14" s="1235" t="str">
        <f>IF(A_InstData!I26="","",A_InstData!I26)</f>
        <v>Türkiye</v>
      </c>
      <c r="H14" s="1235"/>
      <c r="I14" s="1235"/>
      <c r="J14" s="144"/>
      <c r="K14" s="144"/>
      <c r="M14" s="1379" t="str">
        <f>Translations!$B$2113</f>
        <v>Description and indication of legal act for the carbon price, and for possible rebate or other form of compensation obtained.</v>
      </c>
      <c r="N14" s="1379"/>
      <c r="O14" s="1379"/>
      <c r="P14" s="1379"/>
      <c r="Q14" s="1379"/>
      <c r="R14" s="1379"/>
      <c r="S14" s="1379"/>
      <c r="T14" s="428"/>
    </row>
    <row r="15" spans="1:41" ht="12.75" customHeight="1" x14ac:dyDescent="0.3">
      <c r="A15" s="92"/>
      <c r="B15" s="94"/>
      <c r="C15" s="144"/>
      <c r="D15" s="144"/>
      <c r="E15" s="144" t="str">
        <f>Translations!$B$81</f>
        <v>UNLOCODE:</v>
      </c>
      <c r="F15" s="144"/>
      <c r="G15" s="1235" t="str">
        <f>IF(A_InstData!I27="","",A_InstData!I27)</f>
        <v>TR ABC</v>
      </c>
      <c r="H15" s="1235"/>
      <c r="I15" s="1235"/>
      <c r="J15" s="144"/>
      <c r="K15" s="144"/>
      <c r="L15" s="441"/>
      <c r="M15" s="1374"/>
      <c r="N15" s="1374"/>
      <c r="O15" s="1374"/>
      <c r="P15" s="1374"/>
      <c r="Q15" s="1374"/>
      <c r="R15" s="1374"/>
      <c r="S15" s="1374"/>
      <c r="T15" s="428"/>
    </row>
    <row r="16" spans="1:41" ht="12.75" customHeight="1" x14ac:dyDescent="0.3">
      <c r="A16" s="92"/>
      <c r="B16" s="94"/>
      <c r="C16" s="144"/>
      <c r="D16" s="144"/>
      <c r="E16" s="144" t="str">
        <f>Translations!$B$82</f>
        <v>Coordinates of the main emission source (latitude):</v>
      </c>
      <c r="F16" s="144"/>
      <c r="G16" s="1235" t="str">
        <f>IF(A_InstData!I28="","",A_InstData!I28)</f>
        <v>16.6911279°</v>
      </c>
      <c r="H16" s="1235"/>
      <c r="I16" s="1235"/>
      <c r="J16" s="144"/>
      <c r="L16" s="166" t="str">
        <f>Translations!$B$2114</f>
        <v>Any additional information:</v>
      </c>
      <c r="M16" s="1433" t="s">
        <v>2761</v>
      </c>
      <c r="N16" s="1434"/>
      <c r="O16" s="1434"/>
      <c r="P16" s="1434"/>
      <c r="Q16" s="1434"/>
      <c r="R16" s="1434"/>
      <c r="S16" s="1435"/>
      <c r="T16" s="428"/>
    </row>
    <row r="17" spans="1:41" ht="12.75" customHeight="1" x14ac:dyDescent="0.3">
      <c r="A17" s="92"/>
      <c r="B17" s="94"/>
      <c r="C17" s="144"/>
      <c r="D17" s="144"/>
      <c r="E17" s="144" t="str">
        <f>Translations!$B$83</f>
        <v>Coordinates of the main emission source (longitude):</v>
      </c>
      <c r="F17" s="144"/>
      <c r="G17" s="1241" t="str">
        <f>IF(A_InstData!I29="","",A_InstData!I29)</f>
        <v>147.80337464°</v>
      </c>
      <c r="H17" s="1241"/>
      <c r="I17" s="1241"/>
      <c r="J17" s="144"/>
      <c r="K17" s="144"/>
      <c r="M17" s="1379" t="str">
        <f>Translations!$B$2115</f>
        <v>Any additional information you would like to provide to the reporting declarant.</v>
      </c>
      <c r="N17" s="1379"/>
      <c r="O17" s="1379"/>
      <c r="P17" s="1379"/>
      <c r="Q17" s="1379"/>
      <c r="R17" s="1379"/>
      <c r="S17" s="1379"/>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Cement</v>
      </c>
      <c r="F21" s="420" t="str">
        <f>IF($E21="","",IF(A_InstData!G62="","",IF(A_InstData!G62=CONST_PleaseSelect,"",A_InstData!G62)))</f>
        <v>All production routes</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1</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Cement clinker</v>
      </c>
      <c r="F22" s="421" t="str">
        <f>IF($E22="","",IF(A_InstData!G63="","",IF(A_InstData!G63=CONST_PleaseSelect,"",A_InstData!G63)))</f>
        <v>All production routes</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f t="shared" si="0"/>
        <v>2</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Cement Bubble</v>
      </c>
      <c r="F33" s="420" t="str">
        <f t="shared" ref="F33:F42" si="8">IF(E33="","",INDEX(CNTR_List_ExistProdProc,MATCH(E33,CNTR_List_ExistProdProcNames,0)))</f>
        <v>Cement</v>
      </c>
      <c r="G33" s="844" t="str">
        <f>IF($F33="","",IF(INDEX(A_InstData!F$83:F$92,MATCH($F33,CNTR_List_ExistProdProc,0))="","",INDEX(A_InstData!F$83:F$92,MATCH($F33,CNTR_List_ExistProdProc,0))))</f>
        <v>Cement clinker</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1</v>
      </c>
      <c r="Y33" s="105">
        <f>IF(G33="","",IF(G33=CONST_OnlyDirProd,0,MATCH(G33,INDEX(Parameters_Constants!$AC$89:$AM$106,$X33,),0)))</f>
        <v>2</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Cement Bubble</v>
      </c>
      <c r="F71" s="420" t="str">
        <f t="shared" si="19"/>
        <v>Cement</v>
      </c>
      <c r="G71" s="230" t="str">
        <f t="shared" ref="G71:G81" si="20">CONST_tCO2eq</f>
        <v>tCO2e</v>
      </c>
      <c r="H71" s="231">
        <f>IF($E33="","",SUMIFS(D_Processes!$T:$T,D_Processes!$R:$R,CONST_EmDir&amp;$E33))</f>
        <v>1037310</v>
      </c>
      <c r="I71" s="231">
        <f>IF($E33="","",SUMIFS(D_Processes!$T:$T,D_Processes!$R:$R,CONST_EmDirHeat&amp;$E33))</f>
        <v>0</v>
      </c>
      <c r="J71" s="231">
        <f>IF($E33="","",SUMIFS(D_Processes!$T:$T,D_Processes!$R:$R,CONST_EmDirWasteGases&amp;$E33))</f>
        <v>0</v>
      </c>
      <c r="K71" s="231">
        <f t="shared" ref="K71:K80" si="21">IF(E33="","",SUM(H71:J71))</f>
        <v>1037310</v>
      </c>
      <c r="L71" s="231">
        <f>IF($E33="","",SUMIFS(D_Processes!$T:$T,D_Processes!$S:$S,CONST_CNTR_EmbedEmInDir&amp;$E33))</f>
        <v>161489.10657894737</v>
      </c>
      <c r="M71" s="898"/>
      <c r="N71" s="294">
        <f>IF($E33="","",SUMIFS(D_Processes!$T:$T,D_Processes!$R:$R,CONST_CNTR_TotProd&amp;$E33))</f>
        <v>1321052.6315789474</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1037310</v>
      </c>
      <c r="I81" s="236">
        <f>IF(COUNT(I71:I80)&gt;0,SUM(I71:I80),"")</f>
        <v>0</v>
      </c>
      <c r="J81" s="236">
        <f>IF(COUNT(J71:J80)&gt;0,SUM(J71:J80),"")</f>
        <v>0</v>
      </c>
      <c r="K81" s="236">
        <f>IF(COUNT(K71:K80)&gt;0,SUM(K71:K80),"")</f>
        <v>1037310</v>
      </c>
      <c r="L81" s="236">
        <f>IF(COUNT(L71:L80)&gt;0,SUM(L71:L80),"")</f>
        <v>161489.10657894737</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1037310</v>
      </c>
      <c r="L84" s="849">
        <f>'C_Emissions&amp;Energy'!M27</f>
        <v>161489.1</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0</v>
      </c>
      <c r="L85" s="231">
        <f>IF(COUNT(L69:L84)&gt;0,SUM(L84)-SUM(L81),"")</f>
        <v>-6.5789473592303693E-3</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0</v>
      </c>
      <c r="L86" s="240">
        <f>IF(AND(COUNT(L84:L85)&gt;0,SUM(L84)&gt;0),L85/L84,"")</f>
        <v>-4.0739265741343339E-8</v>
      </c>
      <c r="M86" s="144"/>
      <c r="N86" s="144"/>
      <c r="O86" s="144"/>
      <c r="P86" s="144"/>
      <c r="Q86" s="144"/>
      <c r="R86" s="144"/>
      <c r="S86" s="144"/>
      <c r="T86" s="428"/>
    </row>
    <row r="87" spans="1:20" ht="38.85" customHeight="1" x14ac:dyDescent="0.3">
      <c r="A87" s="92"/>
      <c r="B87" s="94"/>
      <c r="C87" s="144"/>
      <c r="D87" s="144"/>
      <c r="E87" s="1447"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47"/>
      <c r="G87" s="1447"/>
      <c r="H87" s="1447"/>
      <c r="I87" s="1447"/>
      <c r="J87" s="1447"/>
      <c r="K87" s="1447"/>
      <c r="L87" s="1267"/>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301" t="str">
        <f>Translations!$B$569</f>
        <v>Specific direct emissions of the production process, i.e. excluding any embedded emissions from any precursors consumed in the process.</v>
      </c>
      <c r="G91" s="1301"/>
      <c r="H91" s="1301"/>
      <c r="I91" s="1301"/>
      <c r="J91" s="1301"/>
      <c r="K91" s="1301"/>
      <c r="L91" s="1301"/>
      <c r="M91" s="1301"/>
      <c r="N91" s="1301"/>
      <c r="O91" s="144"/>
      <c r="P91" s="144"/>
      <c r="Q91" s="144"/>
      <c r="R91" s="144"/>
      <c r="S91" s="144"/>
      <c r="T91" s="428"/>
    </row>
    <row r="92" spans="1:20" ht="13.2" customHeight="1" x14ac:dyDescent="0.3">
      <c r="A92" s="92"/>
      <c r="B92" s="94"/>
      <c r="C92" s="972"/>
      <c r="D92" s="938"/>
      <c r="E92" s="805" t="str">
        <f>Translations!$B$570</f>
        <v>SEE (direct)</v>
      </c>
      <c r="F92" s="1303" t="str">
        <f>Translations!$B$571</f>
        <v>Specific embedded direct emissions of the production process, i.e. including any embedded emissions from any precursors consumed in the process.</v>
      </c>
      <c r="G92" s="1303"/>
      <c r="H92" s="1303"/>
      <c r="I92" s="1303"/>
      <c r="J92" s="1303"/>
      <c r="K92" s="1303"/>
      <c r="L92" s="1303"/>
      <c r="M92" s="1304"/>
      <c r="N92" s="1304"/>
      <c r="O92" s="144"/>
      <c r="P92" s="144"/>
      <c r="Q92" s="144"/>
      <c r="R92" s="144"/>
      <c r="S92" s="144"/>
      <c r="T92" s="428"/>
    </row>
    <row r="93" spans="1:20" ht="13.2" customHeight="1" x14ac:dyDescent="0.3">
      <c r="A93" s="92"/>
      <c r="B93" s="94"/>
      <c r="C93" s="972"/>
      <c r="D93" s="938"/>
      <c r="E93" s="805" t="str">
        <f>Translations!$B$572</f>
        <v>SE (indirect)</v>
      </c>
      <c r="F93" s="1303" t="str">
        <f>Translations!$B$573</f>
        <v>Specific indirect emissions of the production process, i.e. excluding any embedded indirect emissions from any precursors consumed in the process.</v>
      </c>
      <c r="G93" s="1304"/>
      <c r="H93" s="1304"/>
      <c r="I93" s="1304"/>
      <c r="J93" s="1304"/>
      <c r="K93" s="1304"/>
      <c r="L93" s="1304"/>
      <c r="M93" s="1304"/>
      <c r="N93" s="1304"/>
      <c r="O93" s="144"/>
      <c r="P93" s="144"/>
      <c r="Q93" s="144"/>
      <c r="R93" s="144"/>
      <c r="S93" s="144"/>
      <c r="T93" s="428"/>
    </row>
    <row r="94" spans="1:20" ht="13.2" customHeight="1" x14ac:dyDescent="0.3">
      <c r="A94" s="92"/>
      <c r="B94" s="94"/>
      <c r="C94" s="972"/>
      <c r="D94" s="938"/>
      <c r="E94" s="805" t="str">
        <f>Translations!$B$574</f>
        <v>SEE (indirect)</v>
      </c>
      <c r="F94" s="1303" t="str">
        <f>Translations!$B$575</f>
        <v>Specific embedded indirect emissions of the production process, i.e. including any embedded indirect emissions from any precursors consumed in the process.</v>
      </c>
      <c r="G94" s="1304"/>
      <c r="H94" s="1304"/>
      <c r="I94" s="1304"/>
      <c r="J94" s="1304"/>
      <c r="K94" s="1304"/>
      <c r="L94" s="1304"/>
      <c r="M94" s="1304"/>
      <c r="N94" s="1304"/>
      <c r="O94" s="144"/>
      <c r="P94" s="144"/>
      <c r="Q94" s="144"/>
      <c r="R94" s="144"/>
      <c r="S94" s="144"/>
      <c r="T94" s="428"/>
    </row>
    <row r="95" spans="1:20" ht="13.2" customHeight="1" x14ac:dyDescent="0.3">
      <c r="A95" s="92"/>
      <c r="B95" s="94"/>
      <c r="C95" s="972"/>
      <c r="D95" s="938"/>
      <c r="E95" s="805" t="str">
        <f>Translations!$B$576</f>
        <v>Electricity consumed</v>
      </c>
      <c r="F95" s="1303" t="str">
        <f>Translations!$B$577</f>
        <v>Specific electricity consumption within the production process.</v>
      </c>
      <c r="G95" s="1304"/>
      <c r="H95" s="1304"/>
      <c r="I95" s="1304"/>
      <c r="J95" s="1304"/>
      <c r="K95" s="1304"/>
      <c r="L95" s="1304"/>
      <c r="M95" s="1304"/>
      <c r="N95" s="1304"/>
      <c r="O95" s="144"/>
      <c r="P95" s="144"/>
      <c r="Q95" s="144"/>
      <c r="R95" s="144"/>
      <c r="S95" s="144"/>
      <c r="T95" s="428"/>
    </row>
    <row r="96" spans="1:20" ht="26.4" customHeight="1" x14ac:dyDescent="0.25">
      <c r="A96" s="92"/>
      <c r="B96" s="94"/>
      <c r="C96" s="144"/>
      <c r="D96" s="938"/>
      <c r="E96" s="805" t="str">
        <f>Translations!$B$480</f>
        <v>Embedded electricity</v>
      </c>
      <c r="F96" s="1303" t="str">
        <f>Translations!$B$2076</f>
        <v>Specific embedded electricity consumption of the production process, i.e. including any embedded electricity consumption in other production processes within the installation and purchased precursors.</v>
      </c>
      <c r="G96" s="1304"/>
      <c r="H96" s="1304"/>
      <c r="I96" s="1304"/>
      <c r="J96" s="1304"/>
      <c r="K96" s="1304"/>
      <c r="L96" s="1304"/>
      <c r="M96" s="1304"/>
      <c r="N96" s="1304"/>
      <c r="O96" s="954"/>
      <c r="P96" s="954"/>
      <c r="Q96" s="954"/>
      <c r="R96" s="954"/>
      <c r="S96" s="954"/>
      <c r="T96" s="428"/>
    </row>
    <row r="97" spans="1:41" ht="13.2" customHeight="1" x14ac:dyDescent="0.25">
      <c r="A97" s="92"/>
      <c r="B97" s="94"/>
      <c r="C97" s="972"/>
      <c r="D97" s="938"/>
      <c r="E97" s="805" t="str">
        <f>Translations!$B$351</f>
        <v>CP due (per produced t or MWh)</v>
      </c>
      <c r="F97" s="1303" t="str">
        <f>Translations!$B$1870</f>
        <v>This information is taken from the "tool to calculate the carbon price due" in sheet "F_Tools", where relevant.</v>
      </c>
      <c r="G97" s="1304"/>
      <c r="H97" s="1304"/>
      <c r="I97" s="1304"/>
      <c r="J97" s="1304"/>
      <c r="K97" s="1304"/>
      <c r="L97" s="1304"/>
      <c r="M97" s="1304"/>
      <c r="N97" s="1304"/>
      <c r="O97" s="954"/>
      <c r="P97" s="954"/>
      <c r="Q97" s="954"/>
      <c r="R97" s="954"/>
      <c r="S97" s="954"/>
      <c r="T97" s="428"/>
    </row>
    <row r="98" spans="1:41" ht="13.2" customHeight="1" x14ac:dyDescent="0.25">
      <c r="A98" s="92"/>
      <c r="B98" s="94"/>
      <c r="C98" s="972"/>
      <c r="D98" s="938"/>
      <c r="E98" s="806" t="str">
        <f>Translations!$B$352</f>
        <v>Rebate (per produced t or MWh)</v>
      </c>
      <c r="F98" s="1305" t="str">
        <f>Translations!$B$1870</f>
        <v>This information is taken from the "tool to calculate the carbon price due" in sheet "F_Tools", where relevant.</v>
      </c>
      <c r="G98" s="1306"/>
      <c r="H98" s="1306"/>
      <c r="I98" s="1306"/>
      <c r="J98" s="1306"/>
      <c r="K98" s="1306"/>
      <c r="L98" s="1306"/>
      <c r="M98" s="1306"/>
      <c r="N98" s="1306"/>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0"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41" t="str">
        <f>Translations!$B$351</f>
        <v>CP due (per produced t or MWh)</v>
      </c>
      <c r="N100" s="1443"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1"/>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42"/>
      <c r="N101" s="1444"/>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Cement Bubble</v>
      </c>
      <c r="F102" s="153" t="str">
        <f t="shared" ref="F102:F111" si="24">IF(E102="","",INDEX(CNTR_List_ExistProdProc,MATCH(E102,CNTR_List_ExistProdProcNames,0)))</f>
        <v>Cement</v>
      </c>
      <c r="G102" s="245">
        <f>IF($E102="","",INDEX(InputOutput!AJ$71:AJ$100,MATCH($E102,InputOutput!$D$71:$D$100,0)))</f>
        <v>0.78521474103585653</v>
      </c>
      <c r="H102" s="245">
        <f>IF($E102="","",INDEX(InputOutput!AK$71:AK$100,MATCH($E102,InputOutput!$D$71:$D$100,0)))</f>
        <v>0.78521474103585653</v>
      </c>
      <c r="I102" s="245">
        <f>IF($E102="","",INDEX(InputOutput!AL$71:AL$100,MATCH($E102,InputOutput!$D$71:$D$100,0)))</f>
        <v>0.12224275</v>
      </c>
      <c r="J102" s="245">
        <f>IF($E102="","",INDEX(InputOutput!AM$71:AM$100,MATCH($E102,InputOutput!$D$71:$D$100,0)))</f>
        <v>0.12224275</v>
      </c>
      <c r="K102" s="245">
        <f>IF($E102="","",INDEX(InputOutput!AN$71:AN$100,MATCH($E102,InputOutput!$D$71:$D$100,0)))</f>
        <v>0.14674999999999999</v>
      </c>
      <c r="L102" s="245">
        <f>IF($E102="","",INDEX(InputOutput!AO$71:AO$100,MATCH($E102,InputOutput!$D$71:$D$100,0)))</f>
        <v>0.14674999999999999</v>
      </c>
      <c r="M102" s="735">
        <f>INDEX(F_Tools!L$101:L$110,MATCH($D102,F_Tools!$D$101:$D$110,0))</f>
        <v>0</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0"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1"/>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08" t="str">
        <f>Translations!$B$581</f>
        <v>General aspects</v>
      </c>
      <c r="E139" s="1409"/>
      <c r="F139" s="1301" t="str">
        <f>Translations!$B$582</f>
        <v xml:space="preserve">The term 'specific' of all elements below is to be understood as being expressed per unit of good (usually tonnes) of the production process in consideration. </v>
      </c>
      <c r="G139" s="1301"/>
      <c r="H139" s="1301"/>
      <c r="I139" s="1301"/>
      <c r="J139" s="1301"/>
      <c r="K139" s="1301"/>
      <c r="L139" s="1301"/>
      <c r="M139" s="1301"/>
      <c r="N139" s="1301"/>
      <c r="O139" s="1301"/>
      <c r="P139" s="1301"/>
      <c r="Q139" s="1301"/>
      <c r="R139" s="1301"/>
      <c r="S139" s="1301"/>
      <c r="T139" s="428"/>
    </row>
    <row r="140" spans="1:22" ht="25.5" customHeight="1" x14ac:dyDescent="0.3">
      <c r="A140" s="92"/>
      <c r="B140" s="94"/>
      <c r="C140" s="972"/>
      <c r="D140" s="1410"/>
      <c r="E140" s="1411"/>
      <c r="F140" s="1303"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4"/>
      <c r="H140" s="1304"/>
      <c r="I140" s="1304"/>
      <c r="J140" s="1304"/>
      <c r="K140" s="1304"/>
      <c r="L140" s="1304"/>
      <c r="M140" s="1304"/>
      <c r="N140" s="1304"/>
      <c r="O140" s="1304"/>
      <c r="P140" s="1304"/>
      <c r="Q140" s="1304"/>
      <c r="R140" s="1304"/>
      <c r="S140" s="1304"/>
      <c r="T140" s="428"/>
    </row>
    <row r="141" spans="1:22" ht="12.75" customHeight="1" x14ac:dyDescent="0.3">
      <c r="A141" s="92"/>
      <c r="B141" s="94"/>
      <c r="C141" s="972"/>
      <c r="D141" s="1303" t="str">
        <f>Translations!$B$584</f>
        <v>Mass share</v>
      </c>
      <c r="E141" s="1304"/>
      <c r="F141" s="1303" t="str">
        <f>Translations!$B$585</f>
        <v>This is the specific consumption of each precursor per unit of products produced by the relevant 'production process'.</v>
      </c>
      <c r="G141" s="1304"/>
      <c r="H141" s="1304"/>
      <c r="I141" s="1304"/>
      <c r="J141" s="1304"/>
      <c r="K141" s="1304"/>
      <c r="L141" s="1304"/>
      <c r="M141" s="1304"/>
      <c r="N141" s="1304"/>
      <c r="O141" s="1304"/>
      <c r="P141" s="1304"/>
      <c r="Q141" s="1304"/>
      <c r="R141" s="1304"/>
      <c r="S141" s="1304"/>
      <c r="T141" s="428"/>
    </row>
    <row r="142" spans="1:22" ht="25.5" customHeight="1" x14ac:dyDescent="0.3">
      <c r="A142" s="92"/>
      <c r="B142" s="94"/>
      <c r="C142" s="972"/>
      <c r="D142" s="1303" t="str">
        <f>Translations!$B$586</f>
        <v>(Share of) Default value</v>
      </c>
      <c r="E142" s="1304"/>
      <c r="F142" s="1303"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4"/>
      <c r="H142" s="1304"/>
      <c r="I142" s="1304"/>
      <c r="J142" s="1304"/>
      <c r="K142" s="1304"/>
      <c r="L142" s="1304"/>
      <c r="M142" s="1304"/>
      <c r="N142" s="1304"/>
      <c r="O142" s="1304"/>
      <c r="P142" s="1304"/>
      <c r="Q142" s="1304"/>
      <c r="R142" s="1304"/>
      <c r="S142" s="1304"/>
      <c r="T142" s="428"/>
    </row>
    <row r="143" spans="1:22" ht="12.75" customHeight="1" x14ac:dyDescent="0.3">
      <c r="A143" s="92"/>
      <c r="B143" s="94"/>
      <c r="C143" s="972"/>
      <c r="D143" s="1303" t="str">
        <f>Translations!$B$570</f>
        <v>SEE (direct)</v>
      </c>
      <c r="E143" s="1304"/>
      <c r="F143" s="1303" t="str">
        <f>Translations!$B$571</f>
        <v>Specific embedded direct emissions of the production process, i.e. including any embedded emissions from any precursors consumed in the process.</v>
      </c>
      <c r="G143" s="1304"/>
      <c r="H143" s="1304"/>
      <c r="I143" s="1304"/>
      <c r="J143" s="1304"/>
      <c r="K143" s="1304"/>
      <c r="L143" s="1304"/>
      <c r="M143" s="1304"/>
      <c r="N143" s="1304"/>
      <c r="O143" s="1304"/>
      <c r="P143" s="1304"/>
      <c r="Q143" s="1304"/>
      <c r="R143" s="1304"/>
      <c r="S143" s="1304"/>
      <c r="T143" s="428"/>
    </row>
    <row r="144" spans="1:22" ht="12.75" customHeight="1" x14ac:dyDescent="0.3">
      <c r="A144" s="92"/>
      <c r="B144" s="94"/>
      <c r="C144" s="972"/>
      <c r="D144" s="1303" t="str">
        <f>Translations!$B$574</f>
        <v>SEE (indirect)</v>
      </c>
      <c r="E144" s="1304"/>
      <c r="F144" s="1303" t="str">
        <f>Translations!$B$575</f>
        <v>Specific embedded indirect emissions of the production process, i.e. including any embedded indirect emissions from any precursors consumed in the process.</v>
      </c>
      <c r="G144" s="1304"/>
      <c r="H144" s="1304"/>
      <c r="I144" s="1304"/>
      <c r="J144" s="1304"/>
      <c r="K144" s="1304"/>
      <c r="L144" s="1304"/>
      <c r="M144" s="1304"/>
      <c r="N144" s="1304"/>
      <c r="O144" s="1304"/>
      <c r="P144" s="1304"/>
      <c r="Q144" s="1304"/>
      <c r="R144" s="1304"/>
      <c r="S144" s="1304"/>
      <c r="T144" s="428"/>
    </row>
    <row r="145" spans="1:20" ht="12.75" customHeight="1" x14ac:dyDescent="0.3">
      <c r="A145" s="92"/>
      <c r="B145" s="94"/>
      <c r="C145" s="972"/>
      <c r="D145" s="1303" t="str">
        <f>Translations!$B$344</f>
        <v>SEE (total)</v>
      </c>
      <c r="E145" s="1304"/>
      <c r="F145" s="1303" t="str">
        <f>Translations!$B$588</f>
        <v>Total (direct + indirect) specific embedded emissions of the production process, i.e. including any embedded indirect emissions from any precursors consumed in the process.</v>
      </c>
      <c r="G145" s="1304"/>
      <c r="H145" s="1304"/>
      <c r="I145" s="1304"/>
      <c r="J145" s="1304"/>
      <c r="K145" s="1304"/>
      <c r="L145" s="1304"/>
      <c r="M145" s="1304"/>
      <c r="N145" s="1304"/>
      <c r="O145" s="1304"/>
      <c r="P145" s="1304"/>
      <c r="Q145" s="1304"/>
      <c r="R145" s="1304"/>
      <c r="S145" s="1304"/>
      <c r="T145" s="428"/>
    </row>
    <row r="146" spans="1:20" ht="12.75" customHeight="1" x14ac:dyDescent="0.3">
      <c r="A146" s="92"/>
      <c r="B146" s="94"/>
      <c r="C146" s="972"/>
      <c r="D146" s="1303" t="str">
        <f>Translations!$B$589</f>
        <v>EmbEm (direct)</v>
      </c>
      <c r="E146" s="1304"/>
      <c r="F146" s="1303" t="str">
        <f>Translations!$B$590</f>
        <v>Embedded direct emissions of the production process, i.e. including any embedded emissions from any precursors consumed in the process.</v>
      </c>
      <c r="G146" s="1304"/>
      <c r="H146" s="1304"/>
      <c r="I146" s="1304"/>
      <c r="J146" s="1304"/>
      <c r="K146" s="1304"/>
      <c r="L146" s="1304"/>
      <c r="M146" s="1304"/>
      <c r="N146" s="1304"/>
      <c r="O146" s="1304"/>
      <c r="P146" s="1304"/>
      <c r="Q146" s="1304"/>
      <c r="R146" s="1304"/>
      <c r="S146" s="1304"/>
      <c r="T146" s="428"/>
    </row>
    <row r="147" spans="1:20" ht="12.75" customHeight="1" x14ac:dyDescent="0.3">
      <c r="A147" s="92"/>
      <c r="B147" s="94"/>
      <c r="C147" s="972"/>
      <c r="D147" s="1303" t="str">
        <f>Translations!$B$591</f>
        <v>EmbEm (indirect)</v>
      </c>
      <c r="E147" s="1304"/>
      <c r="F147" s="1303" t="str">
        <f>Translations!$B$592</f>
        <v>Embedded indirect emissions of the production process, i.e. including any embedded indirect emissions from any precursors consumed in the process.</v>
      </c>
      <c r="G147" s="1304"/>
      <c r="H147" s="1304"/>
      <c r="I147" s="1304"/>
      <c r="J147" s="1304"/>
      <c r="K147" s="1304"/>
      <c r="L147" s="1304"/>
      <c r="M147" s="1304"/>
      <c r="N147" s="1304"/>
      <c r="O147" s="1304"/>
      <c r="P147" s="1304"/>
      <c r="Q147" s="1304"/>
      <c r="R147" s="1304"/>
      <c r="S147" s="1304"/>
      <c r="T147" s="428"/>
    </row>
    <row r="148" spans="1:20" ht="12.75" customHeight="1" x14ac:dyDescent="0.3">
      <c r="A148" s="92"/>
      <c r="B148" s="94"/>
      <c r="C148" s="972"/>
      <c r="D148" s="1303" t="str">
        <f>Translations!$B$593</f>
        <v>EmbEm (total)</v>
      </c>
      <c r="E148" s="1304"/>
      <c r="F148" s="1303" t="str">
        <f>Translations!$B$588</f>
        <v>Total (direct + indirect) specific embedded emissions of the production process, i.e. including any embedded indirect emissions from any precursors consumed in the process.</v>
      </c>
      <c r="G148" s="1304"/>
      <c r="H148" s="1304"/>
      <c r="I148" s="1304"/>
      <c r="J148" s="1304"/>
      <c r="K148" s="1304"/>
      <c r="L148" s="1304"/>
      <c r="M148" s="1304"/>
      <c r="N148" s="1304"/>
      <c r="O148" s="1304"/>
      <c r="P148" s="1304"/>
      <c r="Q148" s="1304"/>
      <c r="R148" s="1304"/>
      <c r="S148" s="1304"/>
      <c r="T148" s="428"/>
    </row>
    <row r="149" spans="1:20" ht="12.75" customHeight="1" x14ac:dyDescent="0.3">
      <c r="A149" s="92"/>
      <c r="B149" s="94"/>
      <c r="C149" s="972"/>
      <c r="D149" s="1303" t="str">
        <f>Translations!$B$594</f>
        <v>Source of electricity EF</v>
      </c>
      <c r="E149" s="1304"/>
      <c r="F149" s="1303" t="str">
        <f>Translations!$B$595</f>
        <v>The source or method based on which the electricity emission factor (EF) was determined for the relevant production process or precursor.</v>
      </c>
      <c r="G149" s="1304"/>
      <c r="H149" s="1304"/>
      <c r="I149" s="1304"/>
      <c r="J149" s="1304"/>
      <c r="K149" s="1304"/>
      <c r="L149" s="1304"/>
      <c r="M149" s="1304"/>
      <c r="N149" s="1304"/>
      <c r="O149" s="1304"/>
      <c r="P149" s="1304"/>
      <c r="Q149" s="1304"/>
      <c r="R149" s="1304"/>
      <c r="S149" s="1304"/>
      <c r="T149" s="428"/>
    </row>
    <row r="150" spans="1:20" ht="12.75" customHeight="1" x14ac:dyDescent="0.3">
      <c r="A150" s="92"/>
      <c r="B150" s="94"/>
      <c r="C150" s="972"/>
      <c r="D150" s="1422" t="str">
        <f>G_FurtherGuidance!F141</f>
        <v>D.4(a)</v>
      </c>
      <c r="E150" s="1422"/>
      <c r="F150" s="1303" t="str">
        <f>Translations!$B$2053</f>
        <v>EF based on IEA data, provided by the European Commission</v>
      </c>
      <c r="G150" s="1304"/>
      <c r="H150" s="1304"/>
      <c r="I150" s="1304"/>
      <c r="J150" s="1304"/>
      <c r="K150" s="1304"/>
      <c r="L150" s="1304"/>
      <c r="M150" s="1304"/>
      <c r="N150" s="1304"/>
      <c r="O150" s="1304"/>
      <c r="P150" s="1304"/>
      <c r="Q150" s="1304"/>
      <c r="R150" s="1304"/>
      <c r="S150" s="1304"/>
      <c r="T150" s="428"/>
    </row>
    <row r="151" spans="1:20" ht="12.75" customHeight="1" x14ac:dyDescent="0.3">
      <c r="A151" s="92"/>
      <c r="B151" s="94"/>
      <c r="C151" s="972"/>
      <c r="D151" s="1423" t="str">
        <f>G_FurtherGuidance!F142</f>
        <v>D.4(b)</v>
      </c>
      <c r="E151" s="1423"/>
      <c r="F151" s="1303" t="str">
        <f>Translations!$B$2054</f>
        <v>EF based on other publicly available data representing either the average EF or the CO2 emission factor as in section 4.3 of Annex IV of the CBAM Regulation.</v>
      </c>
      <c r="G151" s="1304"/>
      <c r="H151" s="1304"/>
      <c r="I151" s="1304"/>
      <c r="J151" s="1304"/>
      <c r="K151" s="1304"/>
      <c r="L151" s="1304"/>
      <c r="M151" s="1304"/>
      <c r="N151" s="1304"/>
      <c r="O151" s="1304"/>
      <c r="P151" s="1304"/>
      <c r="Q151" s="1304"/>
      <c r="R151" s="1304"/>
      <c r="S151" s="1304"/>
      <c r="T151" s="428"/>
    </row>
    <row r="152" spans="1:20" ht="12.75" customHeight="1" x14ac:dyDescent="0.3">
      <c r="A152" s="92"/>
      <c r="B152" s="94"/>
      <c r="C152" s="972"/>
      <c r="D152" s="1423" t="str">
        <f>G_FurtherGuidance!F143</f>
        <v>D.4.1</v>
      </c>
      <c r="E152" s="1423"/>
      <c r="F152" s="1303" t="str">
        <f>Translations!$B$2055</f>
        <v>EF of electricity produced in the installation other than by cogeneration</v>
      </c>
      <c r="G152" s="1304"/>
      <c r="H152" s="1304"/>
      <c r="I152" s="1304"/>
      <c r="J152" s="1304"/>
      <c r="K152" s="1304"/>
      <c r="L152" s="1304"/>
      <c r="M152" s="1304"/>
      <c r="N152" s="1304"/>
      <c r="O152" s="1304"/>
      <c r="P152" s="1304"/>
      <c r="Q152" s="1304"/>
      <c r="R152" s="1304"/>
      <c r="S152" s="1304"/>
      <c r="T152" s="428"/>
    </row>
    <row r="153" spans="1:20" ht="12.75" customHeight="1" x14ac:dyDescent="0.3">
      <c r="A153" s="92"/>
      <c r="B153" s="94"/>
      <c r="C153" s="972"/>
      <c r="D153" s="1423" t="str">
        <f>G_FurtherGuidance!F144</f>
        <v>D.4.2</v>
      </c>
      <c r="E153" s="1423"/>
      <c r="F153" s="1303" t="str">
        <f>Translations!$B$2056</f>
        <v>EF of electricity produced in the installation by cogeneration</v>
      </c>
      <c r="G153" s="1304"/>
      <c r="H153" s="1304"/>
      <c r="I153" s="1304"/>
      <c r="J153" s="1304"/>
      <c r="K153" s="1304"/>
      <c r="L153" s="1304"/>
      <c r="M153" s="1304"/>
      <c r="N153" s="1304"/>
      <c r="O153" s="1304"/>
      <c r="P153" s="1304"/>
      <c r="Q153" s="1304"/>
      <c r="R153" s="1304"/>
      <c r="S153" s="1304"/>
      <c r="T153" s="428"/>
    </row>
    <row r="154" spans="1:20" ht="12.75" customHeight="1" x14ac:dyDescent="0.3">
      <c r="A154" s="92"/>
      <c r="B154" s="94"/>
      <c r="C154" s="972"/>
      <c r="D154" s="1423" t="str">
        <f>G_FurtherGuidance!F145</f>
        <v>D.4.3.1</v>
      </c>
      <c r="E154" s="1423"/>
      <c r="F154" s="1303" t="str">
        <f>Translations!$B$2057</f>
        <v>EF of electricity produced outside the installation (received from a source with a direct technical link)</v>
      </c>
      <c r="G154" s="1304"/>
      <c r="H154" s="1304"/>
      <c r="I154" s="1304"/>
      <c r="J154" s="1304"/>
      <c r="K154" s="1304"/>
      <c r="L154" s="1304"/>
      <c r="M154" s="1304"/>
      <c r="N154" s="1304"/>
      <c r="O154" s="1304"/>
      <c r="P154" s="1304"/>
      <c r="Q154" s="1304"/>
      <c r="R154" s="1304"/>
      <c r="S154" s="1304"/>
      <c r="T154" s="428"/>
    </row>
    <row r="155" spans="1:20" ht="12.75" customHeight="1" x14ac:dyDescent="0.3">
      <c r="A155" s="92"/>
      <c r="B155" s="94"/>
      <c r="C155" s="972"/>
      <c r="D155" s="1423" t="str">
        <f>G_FurtherGuidance!F146</f>
        <v>D.4.3.2</v>
      </c>
      <c r="E155" s="1423"/>
      <c r="F155" s="1303" t="str">
        <f>Translations!$B$2058</f>
        <v>EF of electricity produced outside the installation (received from a producer under a power purchase agreement)</v>
      </c>
      <c r="G155" s="1304"/>
      <c r="H155" s="1304"/>
      <c r="I155" s="1304"/>
      <c r="J155" s="1304"/>
      <c r="K155" s="1304"/>
      <c r="L155" s="1304"/>
      <c r="M155" s="1304"/>
      <c r="N155" s="1304"/>
      <c r="O155" s="1304"/>
      <c r="P155" s="1304"/>
      <c r="Q155" s="1304"/>
      <c r="R155" s="1304"/>
      <c r="S155" s="1304"/>
      <c r="T155" s="428"/>
    </row>
    <row r="156" spans="1:20" ht="12.75" customHeight="1" x14ac:dyDescent="0.3">
      <c r="A156" s="92"/>
      <c r="B156" s="94"/>
      <c r="C156" s="972"/>
      <c r="D156" s="1424" t="str">
        <f>Translations!$B$460</f>
        <v>Mix</v>
      </c>
      <c r="E156" s="1425"/>
      <c r="F156" s="1303" t="str">
        <f>Translations!$B$596</f>
        <v>Where the electricity is not predominantly obtained from one source or the EF by one of the above sources, the EF is determined as a mix of the methods above.</v>
      </c>
      <c r="G156" s="1304"/>
      <c r="H156" s="1304"/>
      <c r="I156" s="1304"/>
      <c r="J156" s="1304"/>
      <c r="K156" s="1304"/>
      <c r="L156" s="1304"/>
      <c r="M156" s="1304"/>
      <c r="N156" s="1304"/>
      <c r="O156" s="1304"/>
      <c r="P156" s="1304"/>
      <c r="Q156" s="1304"/>
      <c r="R156" s="1304"/>
      <c r="S156" s="1304"/>
      <c r="T156" s="428"/>
    </row>
    <row r="157" spans="1:20" ht="12.75" customHeight="1" x14ac:dyDescent="0.3">
      <c r="A157" s="92"/>
      <c r="B157" s="94"/>
      <c r="C157" s="972"/>
      <c r="D157" s="1303" t="str">
        <f>Translations!$B$480</f>
        <v>Embedded electricity</v>
      </c>
      <c r="E157" s="1304"/>
      <c r="F157" s="1303" t="str">
        <f>Translations!$B$2090</f>
        <v>Specific embedded electricity consumption the production process, including any electricity embedded in any precursors consumed in the process.</v>
      </c>
      <c r="G157" s="1304"/>
      <c r="H157" s="1304"/>
      <c r="I157" s="1304"/>
      <c r="J157" s="1304"/>
      <c r="K157" s="1304"/>
      <c r="L157" s="1304"/>
      <c r="M157" s="1304"/>
      <c r="N157" s="1304"/>
      <c r="O157" s="1304"/>
      <c r="P157" s="1304"/>
      <c r="Q157" s="1304"/>
      <c r="R157" s="1304"/>
      <c r="S157" s="1304"/>
      <c r="T157" s="428"/>
    </row>
    <row r="158" spans="1:20" ht="12.75" customHeight="1" x14ac:dyDescent="0.3">
      <c r="A158" s="92"/>
      <c r="B158" s="94"/>
      <c r="C158" s="972"/>
      <c r="D158" s="1303" t="str">
        <f>Translations!$B$1957</f>
        <v>Country code</v>
      </c>
      <c r="E158" s="1304"/>
      <c r="F158" s="1303" t="str">
        <f>Translations!$B$599</f>
        <v>This is the country in which the relevant precursor is produced, where imported from outside the own installation.</v>
      </c>
      <c r="G158" s="1304"/>
      <c r="H158" s="1304"/>
      <c r="I158" s="1304"/>
      <c r="J158" s="1304"/>
      <c r="K158" s="1304"/>
      <c r="L158" s="1304"/>
      <c r="M158" s="1304"/>
      <c r="N158" s="1304"/>
      <c r="O158" s="1304"/>
      <c r="P158" s="1304"/>
      <c r="Q158" s="1304"/>
      <c r="R158" s="1304"/>
      <c r="S158" s="1304"/>
      <c r="T158" s="428"/>
    </row>
    <row r="159" spans="1:20" ht="12.75" customHeight="1" x14ac:dyDescent="0.3">
      <c r="A159" s="92"/>
      <c r="B159" s="94"/>
      <c r="C159" s="972"/>
      <c r="D159" s="1303" t="str">
        <f>Translations!$B$351</f>
        <v>CP due (per produced t or MWh)</v>
      </c>
      <c r="E159" s="1304"/>
      <c r="F159" s="1303" t="str">
        <f>Translations!$B$1870</f>
        <v>This information is taken from the "tool to calculate the carbon price due" in sheet "F_Tools", where relevant.</v>
      </c>
      <c r="G159" s="1304"/>
      <c r="H159" s="1304"/>
      <c r="I159" s="1304"/>
      <c r="J159" s="1304"/>
      <c r="K159" s="1304"/>
      <c r="L159" s="1304"/>
      <c r="M159" s="1304"/>
      <c r="N159" s="1304"/>
      <c r="O159" s="1304"/>
      <c r="P159" s="1304"/>
      <c r="Q159" s="1304"/>
      <c r="R159" s="1304"/>
      <c r="S159" s="1304"/>
      <c r="T159" s="428"/>
    </row>
    <row r="160" spans="1:20" ht="12.75" customHeight="1" x14ac:dyDescent="0.3">
      <c r="A160" s="92"/>
      <c r="B160" s="94"/>
      <c r="C160" s="972"/>
      <c r="D160" s="1305" t="str">
        <f>Translations!$B$352</f>
        <v>Rebate (per produced t or MWh)</v>
      </c>
      <c r="E160" s="1306"/>
      <c r="F160" s="1432" t="str">
        <f>Translations!$B$1870</f>
        <v>This information is taken from the "tool to calculate the carbon price due" in sheet "F_Tools", where relevant.</v>
      </c>
      <c r="G160" s="1306"/>
      <c r="H160" s="1306"/>
      <c r="I160" s="1306"/>
      <c r="J160" s="1306"/>
      <c r="K160" s="1306"/>
      <c r="L160" s="1306"/>
      <c r="M160" s="1306"/>
      <c r="N160" s="1306"/>
      <c r="O160" s="1306"/>
      <c r="P160" s="1306"/>
      <c r="Q160" s="1306"/>
      <c r="R160" s="1306"/>
      <c r="S160" s="1306"/>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36">
        <v>1</v>
      </c>
      <c r="D162" s="1418" t="str">
        <f>IF(INDEX(CNTR_List_ExistProdProcNames,C162)=CONST_NA,"",INDEX(CNTR_List_ExistProdProcNames,C162))</f>
        <v>Cement Bubble</v>
      </c>
      <c r="E162" s="1419"/>
      <c r="F162" s="1416" t="str">
        <f>Translations!$B$107</f>
        <v>Aggregated goods category</v>
      </c>
      <c r="G162" s="250" t="str">
        <f>Translations!$B$584</f>
        <v>Mass share</v>
      </c>
      <c r="H162" s="144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45" t="str">
        <f>Translations!$B$594</f>
        <v>Source of electricity EF</v>
      </c>
      <c r="P162" s="250" t="str">
        <f>Translations!$B$480</f>
        <v>Embedded electricity</v>
      </c>
      <c r="Q162" s="1412" t="str">
        <f>Translations!$B$1957</f>
        <v>Country code</v>
      </c>
      <c r="R162" s="1441" t="str">
        <f>Translations!$B$351</f>
        <v>CP due (per produced t or MWh)</v>
      </c>
      <c r="S162" s="1443"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0</v>
      </c>
      <c r="AH162" s="91"/>
      <c r="AI162" s="91"/>
      <c r="AJ162" s="91"/>
      <c r="AK162" s="91"/>
      <c r="AL162" s="91"/>
      <c r="AM162" s="91"/>
      <c r="AN162" s="91"/>
      <c r="AO162" s="91"/>
    </row>
    <row r="163" spans="1:41" s="249" customFormat="1" ht="15" customHeight="1" thickBot="1" x14ac:dyDescent="0.35">
      <c r="A163" s="977"/>
      <c r="B163" s="981"/>
      <c r="C163" s="1437"/>
      <c r="D163" s="1420"/>
      <c r="E163" s="1421"/>
      <c r="F163" s="1417"/>
      <c r="G163" s="251" t="str">
        <f>IF($F164="",CONST_t,INDEX(CONST_LIST_GoodsUnit,MATCH($F164,CONST_LIST_Goods,0))) &amp;"/"&amp; IF($F164="",CONST_t,INDEX(CONST_LIST_GoodsUnit,MATCH($F164,CONST_LIST_Goods,0)))</f>
        <v>t/t</v>
      </c>
      <c r="H163" s="144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46"/>
      <c r="P163" s="251" t="str">
        <f>CONST_MWh &amp; "/" &amp; IF($F164="",CONST_t,INDEX(CONST_LIST_GoodsUnit,MATCH($F164,CONST_LIST_Goods,0)))</f>
        <v>MWh/t</v>
      </c>
      <c r="Q163" s="1413"/>
      <c r="R163" s="1442"/>
      <c r="S163" s="1444"/>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38"/>
      <c r="D164" s="1426" t="str">
        <f>Translations!$B$600</f>
        <v>Total production process</v>
      </c>
      <c r="E164" s="1427"/>
      <c r="F164" s="253" t="str">
        <f>IF(D165="","",INDEX(CNTR_List_ExistProdProc,MATCH(D165,CNTR_List_ExistProdProcNames,0)))</f>
        <v>Cement</v>
      </c>
      <c r="G164" s="254" t="s">
        <v>206</v>
      </c>
      <c r="H164" s="896">
        <f>IF(D162="","",IFERROR(SUMIFS(I166:I195,H166:H195,TRUE)/I164,""))</f>
        <v>0</v>
      </c>
      <c r="I164" s="662">
        <f>IF(COUNT(I165:I195)&gt;0,SUM(I165:I195),"")</f>
        <v>0.78521474103585653</v>
      </c>
      <c r="J164" s="662">
        <f>IF(COUNT(J165:J195)&gt;0,SUM(J165:J195),"")</f>
        <v>0.12224275</v>
      </c>
      <c r="K164" s="662">
        <f t="shared" ref="K164:S164" si="26">IF(COUNT(K165:K195)&gt;0,SUM(K165:K195),"")</f>
        <v>0.90745749103585649</v>
      </c>
      <c r="L164" s="255">
        <f t="shared" si="26"/>
        <v>1037310</v>
      </c>
      <c r="M164" s="255">
        <f>IF(COUNT(M165:M195)&gt;0,SUM(M165:M195),"")</f>
        <v>161489.10657894737</v>
      </c>
      <c r="N164" s="255">
        <f t="shared" si="26"/>
        <v>1198799.1065789473</v>
      </c>
      <c r="O164" s="254" t="s">
        <v>206</v>
      </c>
      <c r="P164" s="662">
        <f t="shared" si="26"/>
        <v>0.14674999999999999</v>
      </c>
      <c r="Q164" s="670" t="s">
        <v>206</v>
      </c>
      <c r="R164" s="675">
        <f t="shared" si="26"/>
        <v>0</v>
      </c>
      <c r="S164" s="666">
        <f t="shared" si="26"/>
        <v>0</v>
      </c>
      <c r="T164" s="428"/>
      <c r="Z164" s="123"/>
      <c r="AD164" s="91" t="s">
        <v>199</v>
      </c>
      <c r="AE164" s="91" t="s">
        <v>200</v>
      </c>
      <c r="AG164" s="91" t="s">
        <v>418</v>
      </c>
    </row>
    <row r="165" spans="1:41" ht="12.75" customHeight="1" thickBot="1" x14ac:dyDescent="0.35">
      <c r="A165" s="92"/>
      <c r="B165" s="94"/>
      <c r="C165" s="144"/>
      <c r="D165" s="1428" t="str">
        <f>D162</f>
        <v>Cement Bubble</v>
      </c>
      <c r="E165" s="1429"/>
      <c r="F165" s="283" t="str">
        <f>IF(D165="","",INDEX(CNTR_List_ExistProdProc,MATCH(D165,CNTR_List_ExistProdProcNames,0)))</f>
        <v>Cement</v>
      </c>
      <c r="G165" s="256">
        <v>1</v>
      </c>
      <c r="H165" s="284" t="s">
        <v>206</v>
      </c>
      <c r="I165" s="663">
        <f>IF($D165="","",SUM($G165)*SUM(INDEX(InputOutput!$AJ$71:$AJ$100,MATCH($D165,InputOutput!$D$71:$D$100,0))))</f>
        <v>0.78521474103585653</v>
      </c>
      <c r="J165" s="663">
        <f>IF($D165="","",SUM($G165)*SUM(INDEX(InputOutput!$AL$71:$AL$100,MATCH($D165,InputOutput!$D$71:$D$100,0))))</f>
        <v>0.12224275</v>
      </c>
      <c r="K165" s="663">
        <f t="shared" ref="K165:K170" si="27">IF(COUNT(I165:J165)&gt;0,SUM(I165:J165),"")</f>
        <v>0.90745749103585649</v>
      </c>
      <c r="L165" s="257">
        <f>IF(D165="","",SUM(I165)*SUM(AD165))</f>
        <v>1037310</v>
      </c>
      <c r="M165" s="257">
        <f>IF(D165="","",SUM(J165)*SUM(AD165))</f>
        <v>161489.10657894737</v>
      </c>
      <c r="N165" s="257">
        <f t="shared" ref="N165:N170" si="28">IF(COUNT(L165:M165)&gt;0,SUM(L165:M165),"")</f>
        <v>1198799.1065789473</v>
      </c>
      <c r="O165" s="257" t="str">
        <f>IF(AG165,INDEX(E_PurchPrec!U:U,MATCH(CONST_CNTR_ElecEFMethod&amp;D165,E_PurchPrec!R:R,0)),INDEX(D_Processes!T:T,MATCH(CONST_CNTR_ElecEFMethod&amp;D165,D_Processes!R:R,0)))</f>
        <v>D.4(b)</v>
      </c>
      <c r="P165" s="663">
        <f>IF($D165="","",SUM($G165)*SUM(INDEX(InputOutput!$AN$71:$AN$100,MATCH($D165,InputOutput!$D$71:$D$100,0))))</f>
        <v>0.14674999999999999</v>
      </c>
      <c r="Q165" s="671"/>
      <c r="R165" s="676">
        <f>IF($D165="","",SUM($G165)*SUM(INDEX(F_Tools!$T$101:$T$130,MATCH($D165,F_Tools!$E$101:$E$130,0))))</f>
        <v>0</v>
      </c>
      <c r="S165" s="667">
        <f>IF($D165="","",SUM($G165)*SUM(INDEX(F_Tools!$U$101:$U$130,MATCH($D165,F_Tools!$E$101:$E$130,0))))</f>
        <v>0</v>
      </c>
      <c r="T165" s="428"/>
      <c r="Z165" s="123"/>
      <c r="AB165" s="150" t="str">
        <f>CONST_CNTR_TotProd &amp; D162</f>
        <v>TotProd_Cement Bubble</v>
      </c>
      <c r="AD165" s="258">
        <f>SUMIF(D_Processes!R:R,AB165,D_Processes!L:L)</f>
        <v>1321052.6315789474</v>
      </c>
    </row>
    <row r="166" spans="1:41" ht="12.75" customHeight="1" x14ac:dyDescent="0.3">
      <c r="A166" s="92"/>
      <c r="B166" s="94"/>
      <c r="C166" s="978">
        <v>1</v>
      </c>
      <c r="D166" s="1439" t="str">
        <f>IF(D162="","",IF(COUNTIF(INDEX(CNTR_IOSupplyChain,MATCH(D162,CNTR_IOProcAndPrec,0),),C166)=0,"",INDEX(CNTR_IOProcAndPrec,MATCH(C166,INDEX(CNTR_IOSupplyChain,MATCH(D162,CNTR_IOProcAndPrec,0),),0))))</f>
        <v/>
      </c>
      <c r="E166" s="1440"/>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PrecToGood__Cement Bubble</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3">
      <c r="A167" s="92"/>
      <c r="B167" s="94"/>
      <c r="C167" s="978">
        <v>2</v>
      </c>
      <c r="D167" s="1414" t="str">
        <f>IF(D162="","",IF(COUNTIF(INDEX(CNTR_IOSupplyChain,MATCH(D162,CNTR_IOProcAndPrec,0),),C167)=0,"",INDEX(CNTR_IOProcAndPrec,MATCH(C167,INDEX(CNTR_IOSupplyChain,MATCH(D162,CNTR_IOProcAndPrec,0),),0))))</f>
        <v/>
      </c>
      <c r="E167" s="1415"/>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PrecToGood__Cement Bubble</v>
      </c>
      <c r="AD167" s="269">
        <f>SUMIF(D_Processes!R:R,AB167,D_Processes!K:K)</f>
        <v>0</v>
      </c>
      <c r="AE167" s="268">
        <f>SUMIF(D_Processes!R:R,CONST_CNTR_TotProd &amp; D167,D_Processes!L:L)</f>
        <v>0</v>
      </c>
      <c r="AG167" s="102" t="b">
        <f t="shared" si="30"/>
        <v>0</v>
      </c>
    </row>
    <row r="168" spans="1:41" ht="12.75" customHeight="1" x14ac:dyDescent="0.3">
      <c r="A168" s="92"/>
      <c r="B168" s="94"/>
      <c r="C168" s="978">
        <v>3</v>
      </c>
      <c r="D168" s="1414" t="str">
        <f>IF(D162="","",IF(COUNTIF(INDEX(CNTR_IOSupplyChain,MATCH(D162,CNTR_IOProcAndPrec,0),),C168)=0,"",INDEX(CNTR_IOProcAndPrec,MATCH(C168,INDEX(CNTR_IOSupplyChain,MATCH(D162,CNTR_IOProcAndPrec,0),),0))))</f>
        <v/>
      </c>
      <c r="E168" s="1415"/>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PrecToGood__Cement Bubble</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14" t="str">
        <f>IF(D162="","",IF(COUNTIF(INDEX(CNTR_IOSupplyChain,MATCH(D162,CNTR_IOProcAndPrec,0),),C169)=0,"",INDEX(CNTR_IOProcAndPrec,MATCH(C169,INDEX(CNTR_IOSupplyChain,MATCH(D162,CNTR_IOProcAndPrec,0),),0))))</f>
        <v/>
      </c>
      <c r="E169" s="1415"/>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PrecToGood__Cement Bubble</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14" t="str">
        <f>IF(D162="","",IF(COUNTIF(INDEX(CNTR_IOSupplyChain,MATCH(D162,CNTR_IOProcAndPrec,0),),C170)=0,"",INDEX(CNTR_IOProcAndPrec,MATCH(C170,INDEX(CNTR_IOSupplyChain,MATCH(D162,CNTR_IOProcAndPrec,0),),0))))</f>
        <v/>
      </c>
      <c r="E170" s="1415"/>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PrecToGood__Cement Bubble</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14" t="str">
        <f>IF(D162="","",IF(COUNTIF(INDEX(CNTR_IOSupplyChain,MATCH(D162,CNTR_IOProcAndPrec,0),),C171)=0,"",INDEX(CNTR_IOProcAndPrec,MATCH(C171,INDEX(CNTR_IOSupplyChain,MATCH(D162,CNTR_IOProcAndPrec,0),),0))))</f>
        <v/>
      </c>
      <c r="E171" s="1415"/>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PrecToGood__Cement Bubble</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14" t="str">
        <f>IF(D162="","",IF(COUNTIF(INDEX(CNTR_IOSupplyChain,MATCH(D162,CNTR_IOProcAndPrec,0),),C172)=0,"",INDEX(CNTR_IOProcAndPrec,MATCH(C172,INDEX(CNTR_IOSupplyChain,MATCH(D162,CNTR_IOProcAndPrec,0),),0))))</f>
        <v/>
      </c>
      <c r="E172" s="1415"/>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PrecToGood__Cement Bubble</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14" t="str">
        <f>IF(D162="","",IF(COUNTIF(INDEX(CNTR_IOSupplyChain,MATCH(D162,CNTR_IOProcAndPrec,0),),C173)=0,"",INDEX(CNTR_IOProcAndPrec,MATCH(C173,INDEX(CNTR_IOSupplyChain,MATCH(D162,CNTR_IOProcAndPrec,0),),0))))</f>
        <v/>
      </c>
      <c r="E173" s="1415"/>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PrecToGood__Cement Bubble</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14" t="str">
        <f>IF(D162="","",IF(COUNTIF(INDEX(CNTR_IOSupplyChain,MATCH(D162,CNTR_IOProcAndPrec,0),),C174)=0,"",INDEX(CNTR_IOProcAndPrec,MATCH(C174,INDEX(CNTR_IOSupplyChain,MATCH(D162,CNTR_IOProcAndPrec,0),),0))))</f>
        <v/>
      </c>
      <c r="E174" s="1415"/>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PrecToGood__Cement Bubble</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14" t="str">
        <f>IF(D162="","",IF(COUNTIF(INDEX(CNTR_IOSupplyChain,MATCH(D162,CNTR_IOProcAndPrec,0),),C175)=0,"",INDEX(CNTR_IOProcAndPrec,MATCH(C175,INDEX(CNTR_IOSupplyChain,MATCH(D162,CNTR_IOProcAndPrec,0),),0))))</f>
        <v/>
      </c>
      <c r="E175" s="1415"/>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PrecToGood__Cement Bubble</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14" t="str">
        <f>IF(D162="","",IF(COUNTIF(INDEX(CNTR_IOSupplyChain,MATCH(D162,CNTR_IOProcAndPrec,0),),C176)=0,"",INDEX(CNTR_IOProcAndPrec,MATCH(C176,INDEX(CNTR_IOSupplyChain,MATCH(D162,CNTR_IOProcAndPrec,0),),0))))</f>
        <v/>
      </c>
      <c r="E176" s="1415"/>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PrecToGood__Cement Bubble</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14" t="str">
        <f>IF(D162="","",IF(COUNTIF(INDEX(CNTR_IOSupplyChain,MATCH(D162,CNTR_IOProcAndPrec,0),),C177)=0,"",INDEX(CNTR_IOProcAndPrec,MATCH(C177,INDEX(CNTR_IOSupplyChain,MATCH(D162,CNTR_IOProcAndPrec,0),),0))))</f>
        <v/>
      </c>
      <c r="E177" s="1415"/>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PrecToGood__Cement Bubble</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14" t="str">
        <f>IF(D162="","",IF(COUNTIF(INDEX(CNTR_IOSupplyChain,MATCH(D162,CNTR_IOProcAndPrec,0),),C178)=0,"",INDEX(CNTR_IOProcAndPrec,MATCH(C178,INDEX(CNTR_IOSupplyChain,MATCH(D162,CNTR_IOProcAndPrec,0),),0))))</f>
        <v/>
      </c>
      <c r="E178" s="1415"/>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PrecToGood__Cement Bubble</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14" t="str">
        <f>IF(D162="","",IF(COUNTIF(INDEX(CNTR_IOSupplyChain,MATCH(D162,CNTR_IOProcAndPrec,0),),C179)=0,"",INDEX(CNTR_IOProcAndPrec,MATCH(C179,INDEX(CNTR_IOSupplyChain,MATCH(D162,CNTR_IOProcAndPrec,0),),0))))</f>
        <v/>
      </c>
      <c r="E179" s="1415"/>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PrecToGood__Cement Bubble</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14" t="str">
        <f>IF(D162="","",IF(COUNTIF(INDEX(CNTR_IOSupplyChain,MATCH(D162,CNTR_IOProcAndPrec,0),),C180)=0,"",INDEX(CNTR_IOProcAndPrec,MATCH(C180,INDEX(CNTR_IOSupplyChain,MATCH(D162,CNTR_IOProcAndPrec,0),),0))))</f>
        <v/>
      </c>
      <c r="E180" s="1415"/>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PrecToGood__Cement Bubble</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14" t="str">
        <f>IF(D162="","",IF(COUNTIF(INDEX(CNTR_IOSupplyChain,MATCH(D162,CNTR_IOProcAndPrec,0),),C181)=0,"",INDEX(CNTR_IOProcAndPrec,MATCH(C181,INDEX(CNTR_IOSupplyChain,MATCH(D162,CNTR_IOProcAndPrec,0),),0))))</f>
        <v/>
      </c>
      <c r="E181" s="1415"/>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PrecToGood__Cement Bubble</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14" t="str">
        <f>IF(D162="","",IF(COUNTIF(INDEX(CNTR_IOSupplyChain,MATCH(D162,CNTR_IOProcAndPrec,0),),C182)=0,"",INDEX(CNTR_IOProcAndPrec,MATCH(C182,INDEX(CNTR_IOSupplyChain,MATCH(D162,CNTR_IOProcAndPrec,0),),0))))</f>
        <v/>
      </c>
      <c r="E182" s="1415"/>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PrecToGood__Cement Bubble</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14" t="str">
        <f>IF(D162="","",IF(COUNTIF(INDEX(CNTR_IOSupplyChain,MATCH(D162,CNTR_IOProcAndPrec,0),),C183)=0,"",INDEX(CNTR_IOProcAndPrec,MATCH(C183,INDEX(CNTR_IOSupplyChain,MATCH(D162,CNTR_IOProcAndPrec,0),),0))))</f>
        <v/>
      </c>
      <c r="E183" s="1415"/>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PrecToGood__Cement Bubble</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14" t="str">
        <f>IF(D162="","",IF(COUNTIF(INDEX(CNTR_IOSupplyChain,MATCH(D162,CNTR_IOProcAndPrec,0),),C184)=0,"",INDEX(CNTR_IOProcAndPrec,MATCH(C184,INDEX(CNTR_IOSupplyChain,MATCH(D162,CNTR_IOProcAndPrec,0),),0))))</f>
        <v/>
      </c>
      <c r="E184" s="1415"/>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PrecToGood__Cement Bubble</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14" t="str">
        <f>IF(D162="","",IF(COUNTIF(INDEX(CNTR_IOSupplyChain,MATCH(D162,CNTR_IOProcAndPrec,0),),C185)=0,"",INDEX(CNTR_IOProcAndPrec,MATCH(C185,INDEX(CNTR_IOSupplyChain,MATCH(D162,CNTR_IOProcAndPrec,0),),0))))</f>
        <v/>
      </c>
      <c r="E185" s="1415"/>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PrecToGood__Cement Bubble</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14" t="str">
        <f>IF(D162="","",IF(COUNTIF(INDEX(CNTR_IOSupplyChain,MATCH(D162,CNTR_IOProcAndPrec,0),),C186)=0,"",INDEX(CNTR_IOProcAndPrec,MATCH(C186,INDEX(CNTR_IOSupplyChain,MATCH(D162,CNTR_IOProcAndPrec,0),),0))))</f>
        <v/>
      </c>
      <c r="E186" s="1415"/>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PrecToGood__Cement Bubble</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14" t="str">
        <f>IF(D162="","",IF(COUNTIF(INDEX(CNTR_IOSupplyChain,MATCH(D162,CNTR_IOProcAndPrec,0),),C187)=0,"",INDEX(CNTR_IOProcAndPrec,MATCH(C187,INDEX(CNTR_IOSupplyChain,MATCH(D162,CNTR_IOProcAndPrec,0),),0))))</f>
        <v/>
      </c>
      <c r="E187" s="1415"/>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PrecToGood__Cement Bubble</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14" t="str">
        <f>IF(D162="","",IF(COUNTIF(INDEX(CNTR_IOSupplyChain,MATCH(D162,CNTR_IOProcAndPrec,0),),C188)=0,"",INDEX(CNTR_IOProcAndPrec,MATCH(C188,INDEX(CNTR_IOSupplyChain,MATCH(D162,CNTR_IOProcAndPrec,0),),0))))</f>
        <v/>
      </c>
      <c r="E188" s="1415"/>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PrecToGood__Cement Bubble</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14" t="str">
        <f>IF(D162="","",IF(COUNTIF(INDEX(CNTR_IOSupplyChain,MATCH(D162,CNTR_IOProcAndPrec,0),),C189)=0,"",INDEX(CNTR_IOProcAndPrec,MATCH(C189,INDEX(CNTR_IOSupplyChain,MATCH(D162,CNTR_IOProcAndPrec,0),),0))))</f>
        <v/>
      </c>
      <c r="E189" s="1415"/>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PrecToGood__Cement Bubble</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14" t="str">
        <f>IF(D162="","",IF(COUNTIF(INDEX(CNTR_IOSupplyChain,MATCH(D162,CNTR_IOProcAndPrec,0),),C190)=0,"",INDEX(CNTR_IOProcAndPrec,MATCH(C190,INDEX(CNTR_IOSupplyChain,MATCH(D162,CNTR_IOProcAndPrec,0),),0))))</f>
        <v/>
      </c>
      <c r="E190" s="1415"/>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PrecToGood__Cement Bubble</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14" t="str">
        <f>IF(D162="","",IF(COUNTIF(INDEX(CNTR_IOSupplyChain,MATCH(D162,CNTR_IOProcAndPrec,0),),C191)=0,"",INDEX(CNTR_IOProcAndPrec,MATCH(C191,INDEX(CNTR_IOSupplyChain,MATCH(D162,CNTR_IOProcAndPrec,0),),0))))</f>
        <v/>
      </c>
      <c r="E191" s="1415"/>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PrecToGood__Cement Bubble</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14" t="str">
        <f>IF(D162="","",IF(COUNTIF(INDEX(CNTR_IOSupplyChain,MATCH(D162,CNTR_IOProcAndPrec,0),),C192)=0,"",INDEX(CNTR_IOProcAndPrec,MATCH(C192,INDEX(CNTR_IOSupplyChain,MATCH(D162,CNTR_IOProcAndPrec,0),),0))))</f>
        <v/>
      </c>
      <c r="E192" s="1415"/>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PrecToGood__Cement Bubble</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14" t="str">
        <f>IF(D162="","",IF(COUNTIF(INDEX(CNTR_IOSupplyChain,MATCH(D162,CNTR_IOProcAndPrec,0),),C193)=0,"",INDEX(CNTR_IOProcAndPrec,MATCH(C193,INDEX(CNTR_IOSupplyChain,MATCH(D162,CNTR_IOProcAndPrec,0),),0))))</f>
        <v/>
      </c>
      <c r="E193" s="1415"/>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PrecToGood__Cement Bubble</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14" t="str">
        <f>IF(D162="","",IF(COUNTIF(INDEX(CNTR_IOSupplyChain,MATCH(D162,CNTR_IOProcAndPrec,0),),C194)=0,"",INDEX(CNTR_IOProcAndPrec,MATCH(C194,INDEX(CNTR_IOSupplyChain,MATCH(D162,CNTR_IOProcAndPrec,0),),0))))</f>
        <v/>
      </c>
      <c r="E194" s="1415"/>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PrecToGood__Cement Bubble</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48" t="str">
        <f>IF(D162="","",IF(COUNTIF(INDEX(CNTR_IOSupplyChain,MATCH(D162,CNTR_IOProcAndPrec,0),),C195)=0,"",INDEX(CNTR_IOProcAndPrec,MATCH(C195,INDEX(CNTR_IOSupplyChain,MATCH(D162,CNTR_IOProcAndPrec,0),),0))))</f>
        <v/>
      </c>
      <c r="E195" s="1449"/>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PrecToGood__Cement Bubble</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36">
        <f>C162+1</f>
        <v>2</v>
      </c>
      <c r="D198" s="1418" t="str">
        <f>IF(INDEX(CNTR_List_ExistProdProcNames,C198)=CONST_NA,"",INDEX(CNTR_List_ExistProdProcNames,C198))</f>
        <v/>
      </c>
      <c r="E198" s="1419"/>
      <c r="F198" s="1416" t="str">
        <f>Translations!$B$107</f>
        <v>Aggregated goods category</v>
      </c>
      <c r="G198" s="250" t="str">
        <f>Translations!$B$584</f>
        <v>Mass share</v>
      </c>
      <c r="H198" s="144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45" t="str">
        <f>Translations!$B$594</f>
        <v>Source of electricity EF</v>
      </c>
      <c r="P198" s="250" t="str">
        <f>Translations!$B$480</f>
        <v>Embedded electricity</v>
      </c>
      <c r="Q198" s="1412" t="str">
        <f>Translations!$B$1957</f>
        <v>Country code</v>
      </c>
      <c r="R198" s="1441" t="str">
        <f>Translations!$B$351</f>
        <v>CP due (per produced t or MWh)</v>
      </c>
      <c r="S198" s="1443"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5">
      <c r="A199" s="977"/>
      <c r="B199" s="981"/>
      <c r="C199" s="1437"/>
      <c r="D199" s="1420"/>
      <c r="E199" s="1421"/>
      <c r="F199" s="1417"/>
      <c r="G199" s="251" t="str">
        <f>IF($F200="",CONST_t,INDEX(CONST_LIST_GoodsUnit,MATCH($F200,CONST_LIST_Goods,0))) &amp;"/"&amp; IF($F200="",CONST_t,INDEX(CONST_LIST_GoodsUnit,MATCH($F200,CONST_LIST_Goods,0)))</f>
        <v>t/t</v>
      </c>
      <c r="H199" s="144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46"/>
      <c r="P199" s="251" t="str">
        <f>CONST_MWh &amp; "/" &amp; IF($F200="",CONST_t,INDEX(CONST_LIST_GoodsUnit,MATCH($F200,CONST_LIST_Goods,0)))</f>
        <v>MWh/t</v>
      </c>
      <c r="Q199" s="1413"/>
      <c r="R199" s="1442"/>
      <c r="S199" s="1444"/>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38"/>
      <c r="D200" s="1426" t="str">
        <f>Translations!$B$600</f>
        <v>Total production process</v>
      </c>
      <c r="E200" s="1427"/>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35">
      <c r="A201" s="92"/>
      <c r="B201" s="94"/>
      <c r="C201" s="144"/>
      <c r="D201" s="1428" t="str">
        <f>D198</f>
        <v/>
      </c>
      <c r="E201" s="1429"/>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3">
      <c r="A202" s="92"/>
      <c r="B202" s="94"/>
      <c r="C202" s="978">
        <v>1</v>
      </c>
      <c r="D202" s="1439" t="str">
        <f>IF(D198="","",IF(COUNTIF(INDEX(CNTR_IOSupplyChain,MATCH(D198,CNTR_IOProcAndPrec,0),),C202)=0,"",INDEX(CNTR_IOProcAndPrec,MATCH(C202,INDEX(CNTR_IOSupplyChain,MATCH(D198,CNTR_IOProcAndPrec,0),),0))))</f>
        <v/>
      </c>
      <c r="E202" s="1440"/>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3">
      <c r="A203" s="92"/>
      <c r="B203" s="94"/>
      <c r="C203" s="978">
        <v>2</v>
      </c>
      <c r="D203" s="1414" t="str">
        <f>IF(D198="","",IF(COUNTIF(INDEX(CNTR_IOSupplyChain,MATCH(D198,CNTR_IOProcAndPrec,0),),C203)=0,"",INDEX(CNTR_IOProcAndPrec,MATCH(C203,INDEX(CNTR_IOSupplyChain,MATCH(D198,CNTR_IOProcAndPrec,0),),0))))</f>
        <v/>
      </c>
      <c r="E203" s="1415"/>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14" t="str">
        <f>IF(D198="","",IF(COUNTIF(INDEX(CNTR_IOSupplyChain,MATCH(D198,CNTR_IOProcAndPrec,0),),C204)=0,"",INDEX(CNTR_IOProcAndPrec,MATCH(C204,INDEX(CNTR_IOSupplyChain,MATCH(D198,CNTR_IOProcAndPrec,0),),0))))</f>
        <v/>
      </c>
      <c r="E204" s="1415"/>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14" t="str">
        <f>IF(D198="","",IF(COUNTIF(INDEX(CNTR_IOSupplyChain,MATCH(D198,CNTR_IOProcAndPrec,0),),C205)=0,"",INDEX(CNTR_IOProcAndPrec,MATCH(C205,INDEX(CNTR_IOSupplyChain,MATCH(D198,CNTR_IOProcAndPrec,0),),0))))</f>
        <v/>
      </c>
      <c r="E205" s="1415"/>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14" t="str">
        <f>IF(D198="","",IF(COUNTIF(INDEX(CNTR_IOSupplyChain,MATCH(D198,CNTR_IOProcAndPrec,0),),C206)=0,"",INDEX(CNTR_IOProcAndPrec,MATCH(C206,INDEX(CNTR_IOSupplyChain,MATCH(D198,CNTR_IOProcAndPrec,0),),0))))</f>
        <v/>
      </c>
      <c r="E206" s="1415"/>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14" t="str">
        <f>IF(D198="","",IF(COUNTIF(INDEX(CNTR_IOSupplyChain,MATCH(D198,CNTR_IOProcAndPrec,0),),C207)=0,"",INDEX(CNTR_IOProcAndPrec,MATCH(C207,INDEX(CNTR_IOSupplyChain,MATCH(D198,CNTR_IOProcAndPrec,0),),0))))</f>
        <v/>
      </c>
      <c r="E207" s="1415"/>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14" t="str">
        <f>IF(D198="","",IF(COUNTIF(INDEX(CNTR_IOSupplyChain,MATCH(D198,CNTR_IOProcAndPrec,0),),C208)=0,"",INDEX(CNTR_IOProcAndPrec,MATCH(C208,INDEX(CNTR_IOSupplyChain,MATCH(D198,CNTR_IOProcAndPrec,0),),0))))</f>
        <v/>
      </c>
      <c r="E208" s="1415"/>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14" t="str">
        <f>IF(D198="","",IF(COUNTIF(INDEX(CNTR_IOSupplyChain,MATCH(D198,CNTR_IOProcAndPrec,0),),C209)=0,"",INDEX(CNTR_IOProcAndPrec,MATCH(C209,INDEX(CNTR_IOSupplyChain,MATCH(D198,CNTR_IOProcAndPrec,0),),0))))</f>
        <v/>
      </c>
      <c r="E209" s="1415"/>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14" t="str">
        <f>IF(D198="","",IF(COUNTIF(INDEX(CNTR_IOSupplyChain,MATCH(D198,CNTR_IOProcAndPrec,0),),C210)=0,"",INDEX(CNTR_IOProcAndPrec,MATCH(C210,INDEX(CNTR_IOSupplyChain,MATCH(D198,CNTR_IOProcAndPrec,0),),0))))</f>
        <v/>
      </c>
      <c r="E210" s="1415"/>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14" t="str">
        <f>IF(D198="","",IF(COUNTIF(INDEX(CNTR_IOSupplyChain,MATCH(D198,CNTR_IOProcAndPrec,0),),C211)=0,"",INDEX(CNTR_IOProcAndPrec,MATCH(C211,INDEX(CNTR_IOSupplyChain,MATCH(D198,CNTR_IOProcAndPrec,0),),0))))</f>
        <v/>
      </c>
      <c r="E211" s="1415"/>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14" t="str">
        <f>IF(D198="","",IF(COUNTIF(INDEX(CNTR_IOSupplyChain,MATCH(D198,CNTR_IOProcAndPrec,0),),C212)=0,"",INDEX(CNTR_IOProcAndPrec,MATCH(C212,INDEX(CNTR_IOSupplyChain,MATCH(D198,CNTR_IOProcAndPrec,0),),0))))</f>
        <v/>
      </c>
      <c r="E212" s="1415"/>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14" t="str">
        <f>IF(D198="","",IF(COUNTIF(INDEX(CNTR_IOSupplyChain,MATCH(D198,CNTR_IOProcAndPrec,0),),C213)=0,"",INDEX(CNTR_IOProcAndPrec,MATCH(C213,INDEX(CNTR_IOSupplyChain,MATCH(D198,CNTR_IOProcAndPrec,0),),0))))</f>
        <v/>
      </c>
      <c r="E213" s="1415"/>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14" t="str">
        <f>IF(D198="","",IF(COUNTIF(INDEX(CNTR_IOSupplyChain,MATCH(D198,CNTR_IOProcAndPrec,0),),C214)=0,"",INDEX(CNTR_IOProcAndPrec,MATCH(C214,INDEX(CNTR_IOSupplyChain,MATCH(D198,CNTR_IOProcAndPrec,0),),0))))</f>
        <v/>
      </c>
      <c r="E214" s="1415"/>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14" t="str">
        <f>IF(D198="","",IF(COUNTIF(INDEX(CNTR_IOSupplyChain,MATCH(D198,CNTR_IOProcAndPrec,0),),C215)=0,"",INDEX(CNTR_IOProcAndPrec,MATCH(C215,INDEX(CNTR_IOSupplyChain,MATCH(D198,CNTR_IOProcAndPrec,0),),0))))</f>
        <v/>
      </c>
      <c r="E215" s="1415"/>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14" t="str">
        <f>IF(D198="","",IF(COUNTIF(INDEX(CNTR_IOSupplyChain,MATCH(D198,CNTR_IOProcAndPrec,0),),C216)=0,"",INDEX(CNTR_IOProcAndPrec,MATCH(C216,INDEX(CNTR_IOSupplyChain,MATCH(D198,CNTR_IOProcAndPrec,0),),0))))</f>
        <v/>
      </c>
      <c r="E216" s="1415"/>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14" t="str">
        <f>IF(D198="","",IF(COUNTIF(INDEX(CNTR_IOSupplyChain,MATCH(D198,CNTR_IOProcAndPrec,0),),C217)=0,"",INDEX(CNTR_IOProcAndPrec,MATCH(C217,INDEX(CNTR_IOSupplyChain,MATCH(D198,CNTR_IOProcAndPrec,0),),0))))</f>
        <v/>
      </c>
      <c r="E217" s="1415"/>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14" t="str">
        <f>IF(D198="","",IF(COUNTIF(INDEX(CNTR_IOSupplyChain,MATCH(D198,CNTR_IOProcAndPrec,0),),C218)=0,"",INDEX(CNTR_IOProcAndPrec,MATCH(C218,INDEX(CNTR_IOSupplyChain,MATCH(D198,CNTR_IOProcAndPrec,0),),0))))</f>
        <v/>
      </c>
      <c r="E218" s="1415"/>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14" t="str">
        <f>IF(D198="","",IF(COUNTIF(INDEX(CNTR_IOSupplyChain,MATCH(D198,CNTR_IOProcAndPrec,0),),C219)=0,"",INDEX(CNTR_IOProcAndPrec,MATCH(C219,INDEX(CNTR_IOSupplyChain,MATCH(D198,CNTR_IOProcAndPrec,0),),0))))</f>
        <v/>
      </c>
      <c r="E219" s="1415"/>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14" t="str">
        <f>IF(D198="","",IF(COUNTIF(INDEX(CNTR_IOSupplyChain,MATCH(D198,CNTR_IOProcAndPrec,0),),C220)=0,"",INDEX(CNTR_IOProcAndPrec,MATCH(C220,INDEX(CNTR_IOSupplyChain,MATCH(D198,CNTR_IOProcAndPrec,0),),0))))</f>
        <v/>
      </c>
      <c r="E220" s="1415"/>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14" t="str">
        <f>IF(D198="","",IF(COUNTIF(INDEX(CNTR_IOSupplyChain,MATCH(D198,CNTR_IOProcAndPrec,0),),C221)=0,"",INDEX(CNTR_IOProcAndPrec,MATCH(C221,INDEX(CNTR_IOSupplyChain,MATCH(D198,CNTR_IOProcAndPrec,0),),0))))</f>
        <v/>
      </c>
      <c r="E221" s="1415"/>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14" t="str">
        <f>IF(D198="","",IF(COUNTIF(INDEX(CNTR_IOSupplyChain,MATCH(D198,CNTR_IOProcAndPrec,0),),C222)=0,"",INDEX(CNTR_IOProcAndPrec,MATCH(C222,INDEX(CNTR_IOSupplyChain,MATCH(D198,CNTR_IOProcAndPrec,0),),0))))</f>
        <v/>
      </c>
      <c r="E222" s="1415"/>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14" t="str">
        <f>IF(D198="","",IF(COUNTIF(INDEX(CNTR_IOSupplyChain,MATCH(D198,CNTR_IOProcAndPrec,0),),C223)=0,"",INDEX(CNTR_IOProcAndPrec,MATCH(C223,INDEX(CNTR_IOSupplyChain,MATCH(D198,CNTR_IOProcAndPrec,0),),0))))</f>
        <v/>
      </c>
      <c r="E223" s="1415"/>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14" t="str">
        <f>IF(D198="","",IF(COUNTIF(INDEX(CNTR_IOSupplyChain,MATCH(D198,CNTR_IOProcAndPrec,0),),C224)=0,"",INDEX(CNTR_IOProcAndPrec,MATCH(C224,INDEX(CNTR_IOSupplyChain,MATCH(D198,CNTR_IOProcAndPrec,0),),0))))</f>
        <v/>
      </c>
      <c r="E224" s="1415"/>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14" t="str">
        <f>IF(D198="","",IF(COUNTIF(INDEX(CNTR_IOSupplyChain,MATCH(D198,CNTR_IOProcAndPrec,0),),C225)=0,"",INDEX(CNTR_IOProcAndPrec,MATCH(C225,INDEX(CNTR_IOSupplyChain,MATCH(D198,CNTR_IOProcAndPrec,0),),0))))</f>
        <v/>
      </c>
      <c r="E225" s="1415"/>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14" t="str">
        <f>IF(D198="","",IF(COUNTIF(INDEX(CNTR_IOSupplyChain,MATCH(D198,CNTR_IOProcAndPrec,0),),C226)=0,"",INDEX(CNTR_IOProcAndPrec,MATCH(C226,INDEX(CNTR_IOSupplyChain,MATCH(D198,CNTR_IOProcAndPrec,0),),0))))</f>
        <v/>
      </c>
      <c r="E226" s="1415"/>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14" t="str">
        <f>IF(D198="","",IF(COUNTIF(INDEX(CNTR_IOSupplyChain,MATCH(D198,CNTR_IOProcAndPrec,0),),C227)=0,"",INDEX(CNTR_IOProcAndPrec,MATCH(C227,INDEX(CNTR_IOSupplyChain,MATCH(D198,CNTR_IOProcAndPrec,0),),0))))</f>
        <v/>
      </c>
      <c r="E227" s="1415"/>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14" t="str">
        <f>IF(D198="","",IF(COUNTIF(INDEX(CNTR_IOSupplyChain,MATCH(D198,CNTR_IOProcAndPrec,0),),C228)=0,"",INDEX(CNTR_IOProcAndPrec,MATCH(C228,INDEX(CNTR_IOSupplyChain,MATCH(D198,CNTR_IOProcAndPrec,0),),0))))</f>
        <v/>
      </c>
      <c r="E228" s="1415"/>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14" t="str">
        <f>IF(D198="","",IF(COUNTIF(INDEX(CNTR_IOSupplyChain,MATCH(D198,CNTR_IOProcAndPrec,0),),C229)=0,"",INDEX(CNTR_IOProcAndPrec,MATCH(C229,INDEX(CNTR_IOSupplyChain,MATCH(D198,CNTR_IOProcAndPrec,0),),0))))</f>
        <v/>
      </c>
      <c r="E229" s="1415"/>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14" t="str">
        <f>IF(D198="","",IF(COUNTIF(INDEX(CNTR_IOSupplyChain,MATCH(D198,CNTR_IOProcAndPrec,0),),C230)=0,"",INDEX(CNTR_IOProcAndPrec,MATCH(C230,INDEX(CNTR_IOSupplyChain,MATCH(D198,CNTR_IOProcAndPrec,0),),0))))</f>
        <v/>
      </c>
      <c r="E230" s="1415"/>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48" t="str">
        <f>IF(D198="","",IF(COUNTIF(INDEX(CNTR_IOSupplyChain,MATCH(D198,CNTR_IOProcAndPrec,0),),C231)=0,"",INDEX(CNTR_IOProcAndPrec,MATCH(C231,INDEX(CNTR_IOSupplyChain,MATCH(D198,CNTR_IOProcAndPrec,0),),0))))</f>
        <v/>
      </c>
      <c r="E231" s="1449"/>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36">
        <f>C198+1</f>
        <v>3</v>
      </c>
      <c r="D234" s="1418" t="str">
        <f>IF(INDEX(CNTR_List_ExistProdProcNames,C234)=CONST_NA,"",INDEX(CNTR_List_ExistProdProcNames,C234))</f>
        <v/>
      </c>
      <c r="E234" s="1419"/>
      <c r="F234" s="1416" t="str">
        <f>Translations!$B$107</f>
        <v>Aggregated goods category</v>
      </c>
      <c r="G234" s="250" t="str">
        <f>Translations!$B$584</f>
        <v>Mass share</v>
      </c>
      <c r="H234" s="144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45" t="str">
        <f>Translations!$B$594</f>
        <v>Source of electricity EF</v>
      </c>
      <c r="P234" s="250" t="str">
        <f>Translations!$B$480</f>
        <v>Embedded electricity</v>
      </c>
      <c r="Q234" s="1412" t="str">
        <f>Translations!$B$1957</f>
        <v>Country code</v>
      </c>
      <c r="R234" s="1441" t="str">
        <f>Translations!$B$351</f>
        <v>CP due (per produced t or MWh)</v>
      </c>
      <c r="S234" s="1443"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37"/>
      <c r="D235" s="1420"/>
      <c r="E235" s="1421"/>
      <c r="F235" s="1417"/>
      <c r="G235" s="251" t="str">
        <f>IF($F236="",CONST_t,INDEX(CONST_LIST_GoodsUnit,MATCH($F236,CONST_LIST_Goods,0))) &amp;"/"&amp; IF($F236="",CONST_t,INDEX(CONST_LIST_GoodsUnit,MATCH($F236,CONST_LIST_Goods,0)))</f>
        <v>t/t</v>
      </c>
      <c r="H235" s="144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46"/>
      <c r="P235" s="251" t="str">
        <f>CONST_MWh &amp; "/" &amp; IF($F236="",CONST_t,INDEX(CONST_LIST_GoodsUnit,MATCH($F236,CONST_LIST_Goods,0)))</f>
        <v>MWh/t</v>
      </c>
      <c r="Q235" s="1413"/>
      <c r="R235" s="1442"/>
      <c r="S235" s="1444"/>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38"/>
      <c r="D236" s="1426" t="str">
        <f>Translations!$B$600</f>
        <v>Total production process</v>
      </c>
      <c r="E236" s="1427"/>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28" t="str">
        <f>D234</f>
        <v/>
      </c>
      <c r="E237" s="1429"/>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9" t="str">
        <f>IF(D234="","",IF(COUNTIF(INDEX(CNTR_IOSupplyChain,MATCH(D234,CNTR_IOProcAndPrec,0),),C238)=0,"",INDEX(CNTR_IOProcAndPrec,MATCH(C238,INDEX(CNTR_IOSupplyChain,MATCH(D234,CNTR_IOProcAndPrec,0),),0))))</f>
        <v/>
      </c>
      <c r="E238" s="1440"/>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14" t="str">
        <f>IF(D234="","",IF(COUNTIF(INDEX(CNTR_IOSupplyChain,MATCH(D234,CNTR_IOProcAndPrec,0),),C239)=0,"",INDEX(CNTR_IOProcAndPrec,MATCH(C239,INDEX(CNTR_IOSupplyChain,MATCH(D234,CNTR_IOProcAndPrec,0),),0))))</f>
        <v/>
      </c>
      <c r="E239" s="1415"/>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14" t="str">
        <f>IF(D234="","",IF(COUNTIF(INDEX(CNTR_IOSupplyChain,MATCH(D234,CNTR_IOProcAndPrec,0),),C240)=0,"",INDEX(CNTR_IOProcAndPrec,MATCH(C240,INDEX(CNTR_IOSupplyChain,MATCH(D234,CNTR_IOProcAndPrec,0),),0))))</f>
        <v/>
      </c>
      <c r="E240" s="1415"/>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14" t="str">
        <f>IF(D234="","",IF(COUNTIF(INDEX(CNTR_IOSupplyChain,MATCH(D234,CNTR_IOProcAndPrec,0),),C241)=0,"",INDEX(CNTR_IOProcAndPrec,MATCH(C241,INDEX(CNTR_IOSupplyChain,MATCH(D234,CNTR_IOProcAndPrec,0),),0))))</f>
        <v/>
      </c>
      <c r="E241" s="1415"/>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14" t="str">
        <f>IF(D234="","",IF(COUNTIF(INDEX(CNTR_IOSupplyChain,MATCH(D234,CNTR_IOProcAndPrec,0),),C242)=0,"",INDEX(CNTR_IOProcAndPrec,MATCH(C242,INDEX(CNTR_IOSupplyChain,MATCH(D234,CNTR_IOProcAndPrec,0),),0))))</f>
        <v/>
      </c>
      <c r="E242" s="1415"/>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14" t="str">
        <f>IF(D234="","",IF(COUNTIF(INDEX(CNTR_IOSupplyChain,MATCH(D234,CNTR_IOProcAndPrec,0),),C243)=0,"",INDEX(CNTR_IOProcAndPrec,MATCH(C243,INDEX(CNTR_IOSupplyChain,MATCH(D234,CNTR_IOProcAndPrec,0),),0))))</f>
        <v/>
      </c>
      <c r="E243" s="1415"/>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14" t="str">
        <f>IF(D234="","",IF(COUNTIF(INDEX(CNTR_IOSupplyChain,MATCH(D234,CNTR_IOProcAndPrec,0),),C244)=0,"",INDEX(CNTR_IOProcAndPrec,MATCH(C244,INDEX(CNTR_IOSupplyChain,MATCH(D234,CNTR_IOProcAndPrec,0),),0))))</f>
        <v/>
      </c>
      <c r="E244" s="1415"/>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14" t="str">
        <f>IF(D234="","",IF(COUNTIF(INDEX(CNTR_IOSupplyChain,MATCH(D234,CNTR_IOProcAndPrec,0),),C245)=0,"",INDEX(CNTR_IOProcAndPrec,MATCH(C245,INDEX(CNTR_IOSupplyChain,MATCH(D234,CNTR_IOProcAndPrec,0),),0))))</f>
        <v/>
      </c>
      <c r="E245" s="1415"/>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14" t="str">
        <f>IF(D234="","",IF(COUNTIF(INDEX(CNTR_IOSupplyChain,MATCH(D234,CNTR_IOProcAndPrec,0),),C246)=0,"",INDEX(CNTR_IOProcAndPrec,MATCH(C246,INDEX(CNTR_IOSupplyChain,MATCH(D234,CNTR_IOProcAndPrec,0),),0))))</f>
        <v/>
      </c>
      <c r="E246" s="1415"/>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14" t="str">
        <f>IF(D234="","",IF(COUNTIF(INDEX(CNTR_IOSupplyChain,MATCH(D234,CNTR_IOProcAndPrec,0),),C247)=0,"",INDEX(CNTR_IOProcAndPrec,MATCH(C247,INDEX(CNTR_IOSupplyChain,MATCH(D234,CNTR_IOProcAndPrec,0),),0))))</f>
        <v/>
      </c>
      <c r="E247" s="1415"/>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14" t="str">
        <f>IF(D234="","",IF(COUNTIF(INDEX(CNTR_IOSupplyChain,MATCH(D234,CNTR_IOProcAndPrec,0),),C248)=0,"",INDEX(CNTR_IOProcAndPrec,MATCH(C248,INDEX(CNTR_IOSupplyChain,MATCH(D234,CNTR_IOProcAndPrec,0),),0))))</f>
        <v/>
      </c>
      <c r="E248" s="1415"/>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14" t="str">
        <f>IF(D234="","",IF(COUNTIF(INDEX(CNTR_IOSupplyChain,MATCH(D234,CNTR_IOProcAndPrec,0),),C249)=0,"",INDEX(CNTR_IOProcAndPrec,MATCH(C249,INDEX(CNTR_IOSupplyChain,MATCH(D234,CNTR_IOProcAndPrec,0),),0))))</f>
        <v/>
      </c>
      <c r="E249" s="1415"/>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14" t="str">
        <f>IF(D234="","",IF(COUNTIF(INDEX(CNTR_IOSupplyChain,MATCH(D234,CNTR_IOProcAndPrec,0),),C250)=0,"",INDEX(CNTR_IOProcAndPrec,MATCH(C250,INDEX(CNTR_IOSupplyChain,MATCH(D234,CNTR_IOProcAndPrec,0),),0))))</f>
        <v/>
      </c>
      <c r="E250" s="1415"/>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14" t="str">
        <f>IF(D234="","",IF(COUNTIF(INDEX(CNTR_IOSupplyChain,MATCH(D234,CNTR_IOProcAndPrec,0),),C251)=0,"",INDEX(CNTR_IOProcAndPrec,MATCH(C251,INDEX(CNTR_IOSupplyChain,MATCH(D234,CNTR_IOProcAndPrec,0),),0))))</f>
        <v/>
      </c>
      <c r="E251" s="1415"/>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14" t="str">
        <f>IF(D234="","",IF(COUNTIF(INDEX(CNTR_IOSupplyChain,MATCH(D234,CNTR_IOProcAndPrec,0),),C252)=0,"",INDEX(CNTR_IOProcAndPrec,MATCH(C252,INDEX(CNTR_IOSupplyChain,MATCH(D234,CNTR_IOProcAndPrec,0),),0))))</f>
        <v/>
      </c>
      <c r="E252" s="1415"/>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14" t="str">
        <f>IF(D234="","",IF(COUNTIF(INDEX(CNTR_IOSupplyChain,MATCH(D234,CNTR_IOProcAndPrec,0),),C253)=0,"",INDEX(CNTR_IOProcAndPrec,MATCH(C253,INDEX(CNTR_IOSupplyChain,MATCH(D234,CNTR_IOProcAndPrec,0),),0))))</f>
        <v/>
      </c>
      <c r="E253" s="1415"/>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14" t="str">
        <f>IF(D234="","",IF(COUNTIF(INDEX(CNTR_IOSupplyChain,MATCH(D234,CNTR_IOProcAndPrec,0),),C254)=0,"",INDEX(CNTR_IOProcAndPrec,MATCH(C254,INDEX(CNTR_IOSupplyChain,MATCH(D234,CNTR_IOProcAndPrec,0),),0))))</f>
        <v/>
      </c>
      <c r="E254" s="1415"/>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14" t="str">
        <f>IF(D234="","",IF(COUNTIF(INDEX(CNTR_IOSupplyChain,MATCH(D234,CNTR_IOProcAndPrec,0),),C255)=0,"",INDEX(CNTR_IOProcAndPrec,MATCH(C255,INDEX(CNTR_IOSupplyChain,MATCH(D234,CNTR_IOProcAndPrec,0),),0))))</f>
        <v/>
      </c>
      <c r="E255" s="1415"/>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14" t="str">
        <f>IF(D234="","",IF(COUNTIF(INDEX(CNTR_IOSupplyChain,MATCH(D234,CNTR_IOProcAndPrec,0),),C256)=0,"",INDEX(CNTR_IOProcAndPrec,MATCH(C256,INDEX(CNTR_IOSupplyChain,MATCH(D234,CNTR_IOProcAndPrec,0),),0))))</f>
        <v/>
      </c>
      <c r="E256" s="1415"/>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14" t="str">
        <f>IF(D234="","",IF(COUNTIF(INDEX(CNTR_IOSupplyChain,MATCH(D234,CNTR_IOProcAndPrec,0),),C257)=0,"",INDEX(CNTR_IOProcAndPrec,MATCH(C257,INDEX(CNTR_IOSupplyChain,MATCH(D234,CNTR_IOProcAndPrec,0),),0))))</f>
        <v/>
      </c>
      <c r="E257" s="1415"/>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14" t="str">
        <f>IF(D234="","",IF(COUNTIF(INDEX(CNTR_IOSupplyChain,MATCH(D234,CNTR_IOProcAndPrec,0),),C258)=0,"",INDEX(CNTR_IOProcAndPrec,MATCH(C258,INDEX(CNTR_IOSupplyChain,MATCH(D234,CNTR_IOProcAndPrec,0),),0))))</f>
        <v/>
      </c>
      <c r="E258" s="1415"/>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14" t="str">
        <f>IF(D234="","",IF(COUNTIF(INDEX(CNTR_IOSupplyChain,MATCH(D234,CNTR_IOProcAndPrec,0),),C259)=0,"",INDEX(CNTR_IOProcAndPrec,MATCH(C259,INDEX(CNTR_IOSupplyChain,MATCH(D234,CNTR_IOProcAndPrec,0),),0))))</f>
        <v/>
      </c>
      <c r="E259" s="1415"/>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14" t="str">
        <f>IF(D234="","",IF(COUNTIF(INDEX(CNTR_IOSupplyChain,MATCH(D234,CNTR_IOProcAndPrec,0),),C260)=0,"",INDEX(CNTR_IOProcAndPrec,MATCH(C260,INDEX(CNTR_IOSupplyChain,MATCH(D234,CNTR_IOProcAndPrec,0),),0))))</f>
        <v/>
      </c>
      <c r="E260" s="1415"/>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14" t="str">
        <f>IF(D234="","",IF(COUNTIF(INDEX(CNTR_IOSupplyChain,MATCH(D234,CNTR_IOProcAndPrec,0),),C261)=0,"",INDEX(CNTR_IOProcAndPrec,MATCH(C261,INDEX(CNTR_IOSupplyChain,MATCH(D234,CNTR_IOProcAndPrec,0),),0))))</f>
        <v/>
      </c>
      <c r="E261" s="1415"/>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14" t="str">
        <f>IF(D234="","",IF(COUNTIF(INDEX(CNTR_IOSupplyChain,MATCH(D234,CNTR_IOProcAndPrec,0),),C262)=0,"",INDEX(CNTR_IOProcAndPrec,MATCH(C262,INDEX(CNTR_IOSupplyChain,MATCH(D234,CNTR_IOProcAndPrec,0),),0))))</f>
        <v/>
      </c>
      <c r="E262" s="1415"/>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14" t="str">
        <f>IF(D234="","",IF(COUNTIF(INDEX(CNTR_IOSupplyChain,MATCH(D234,CNTR_IOProcAndPrec,0),),C263)=0,"",INDEX(CNTR_IOProcAndPrec,MATCH(C263,INDEX(CNTR_IOSupplyChain,MATCH(D234,CNTR_IOProcAndPrec,0),),0))))</f>
        <v/>
      </c>
      <c r="E263" s="1415"/>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14" t="str">
        <f>IF(D234="","",IF(COUNTIF(INDEX(CNTR_IOSupplyChain,MATCH(D234,CNTR_IOProcAndPrec,0),),C264)=0,"",INDEX(CNTR_IOProcAndPrec,MATCH(C264,INDEX(CNTR_IOSupplyChain,MATCH(D234,CNTR_IOProcAndPrec,0),),0))))</f>
        <v/>
      </c>
      <c r="E264" s="1415"/>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14" t="str">
        <f>IF(D234="","",IF(COUNTIF(INDEX(CNTR_IOSupplyChain,MATCH(D234,CNTR_IOProcAndPrec,0),),C265)=0,"",INDEX(CNTR_IOProcAndPrec,MATCH(C265,INDEX(CNTR_IOSupplyChain,MATCH(D234,CNTR_IOProcAndPrec,0),),0))))</f>
        <v/>
      </c>
      <c r="E265" s="1415"/>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14" t="str">
        <f>IF(D234="","",IF(COUNTIF(INDEX(CNTR_IOSupplyChain,MATCH(D234,CNTR_IOProcAndPrec,0),),C266)=0,"",INDEX(CNTR_IOProcAndPrec,MATCH(C266,INDEX(CNTR_IOSupplyChain,MATCH(D234,CNTR_IOProcAndPrec,0),),0))))</f>
        <v/>
      </c>
      <c r="E266" s="1415"/>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48" t="str">
        <f>IF(D234="","",IF(COUNTIF(INDEX(CNTR_IOSupplyChain,MATCH(D234,CNTR_IOProcAndPrec,0),),C267)=0,"",INDEX(CNTR_IOProcAndPrec,MATCH(C267,INDEX(CNTR_IOSupplyChain,MATCH(D234,CNTR_IOProcAndPrec,0),),0))))</f>
        <v/>
      </c>
      <c r="E267" s="1449"/>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36">
        <f>C234+1</f>
        <v>4</v>
      </c>
      <c r="D270" s="1418" t="str">
        <f>IF(INDEX(CNTR_List_ExistProdProcNames,C270)=CONST_NA,"",INDEX(CNTR_List_ExistProdProcNames,C270))</f>
        <v/>
      </c>
      <c r="E270" s="1419"/>
      <c r="F270" s="1416" t="str">
        <f>Translations!$B$107</f>
        <v>Aggregated goods category</v>
      </c>
      <c r="G270" s="250" t="str">
        <f>Translations!$B$584</f>
        <v>Mass share</v>
      </c>
      <c r="H270" s="144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45" t="str">
        <f>Translations!$B$594</f>
        <v>Source of electricity EF</v>
      </c>
      <c r="P270" s="250" t="str">
        <f>Translations!$B$480</f>
        <v>Embedded electricity</v>
      </c>
      <c r="Q270" s="1412" t="str">
        <f>Translations!$B$1957</f>
        <v>Country code</v>
      </c>
      <c r="R270" s="1441" t="str">
        <f>Translations!$B$351</f>
        <v>CP due (per produced t or MWh)</v>
      </c>
      <c r="S270" s="1443"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37"/>
      <c r="D271" s="1420"/>
      <c r="E271" s="1421"/>
      <c r="F271" s="1417"/>
      <c r="G271" s="251" t="str">
        <f>IF($F272="",CONST_t,INDEX(CONST_LIST_GoodsUnit,MATCH($F272,CONST_LIST_Goods,0))) &amp;"/"&amp; IF($F272="",CONST_t,INDEX(CONST_LIST_GoodsUnit,MATCH($F272,CONST_LIST_Goods,0)))</f>
        <v>t/t</v>
      </c>
      <c r="H271" s="144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46"/>
      <c r="P271" s="251" t="str">
        <f>CONST_MWh &amp; "/" &amp; IF($F272="",CONST_t,INDEX(CONST_LIST_GoodsUnit,MATCH($F272,CONST_LIST_Goods,0)))</f>
        <v>MWh/t</v>
      </c>
      <c r="Q271" s="1413"/>
      <c r="R271" s="1442"/>
      <c r="S271" s="1444"/>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38"/>
      <c r="D272" s="1426" t="str">
        <f>Translations!$B$600</f>
        <v>Total production process</v>
      </c>
      <c r="E272" s="1427"/>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28" t="str">
        <f>D270</f>
        <v/>
      </c>
      <c r="E273" s="1429"/>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9" t="str">
        <f>IF(D270="","",IF(COUNTIF(INDEX(CNTR_IOSupplyChain,MATCH(D270,CNTR_IOProcAndPrec,0),),C274)=0,"",INDEX(CNTR_IOProcAndPrec,MATCH(C274,INDEX(CNTR_IOSupplyChain,MATCH(D270,CNTR_IOProcAndPrec,0),),0))))</f>
        <v/>
      </c>
      <c r="E274" s="1440"/>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14" t="str">
        <f>IF(D270="","",IF(COUNTIF(INDEX(CNTR_IOSupplyChain,MATCH(D270,CNTR_IOProcAndPrec,0),),C275)=0,"",INDEX(CNTR_IOProcAndPrec,MATCH(C275,INDEX(CNTR_IOSupplyChain,MATCH(D270,CNTR_IOProcAndPrec,0),),0))))</f>
        <v/>
      </c>
      <c r="E275" s="1415"/>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14" t="str">
        <f>IF(D270="","",IF(COUNTIF(INDEX(CNTR_IOSupplyChain,MATCH(D270,CNTR_IOProcAndPrec,0),),C276)=0,"",INDEX(CNTR_IOProcAndPrec,MATCH(C276,INDEX(CNTR_IOSupplyChain,MATCH(D270,CNTR_IOProcAndPrec,0),),0))))</f>
        <v/>
      </c>
      <c r="E276" s="1415"/>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14" t="str">
        <f>IF(D270="","",IF(COUNTIF(INDEX(CNTR_IOSupplyChain,MATCH(D270,CNTR_IOProcAndPrec,0),),C277)=0,"",INDEX(CNTR_IOProcAndPrec,MATCH(C277,INDEX(CNTR_IOSupplyChain,MATCH(D270,CNTR_IOProcAndPrec,0),),0))))</f>
        <v/>
      </c>
      <c r="E277" s="1415"/>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14" t="str">
        <f>IF(D270="","",IF(COUNTIF(INDEX(CNTR_IOSupplyChain,MATCH(D270,CNTR_IOProcAndPrec,0),),C278)=0,"",INDEX(CNTR_IOProcAndPrec,MATCH(C278,INDEX(CNTR_IOSupplyChain,MATCH(D270,CNTR_IOProcAndPrec,0),),0))))</f>
        <v/>
      </c>
      <c r="E278" s="1415"/>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14" t="str">
        <f>IF(D270="","",IF(COUNTIF(INDEX(CNTR_IOSupplyChain,MATCH(D270,CNTR_IOProcAndPrec,0),),C279)=0,"",INDEX(CNTR_IOProcAndPrec,MATCH(C279,INDEX(CNTR_IOSupplyChain,MATCH(D270,CNTR_IOProcAndPrec,0),),0))))</f>
        <v/>
      </c>
      <c r="E279" s="1415"/>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14" t="str">
        <f>IF(D270="","",IF(COUNTIF(INDEX(CNTR_IOSupplyChain,MATCH(D270,CNTR_IOProcAndPrec,0),),C280)=0,"",INDEX(CNTR_IOProcAndPrec,MATCH(C280,INDEX(CNTR_IOSupplyChain,MATCH(D270,CNTR_IOProcAndPrec,0),),0))))</f>
        <v/>
      </c>
      <c r="E280" s="1415"/>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14" t="str">
        <f>IF(D270="","",IF(COUNTIF(INDEX(CNTR_IOSupplyChain,MATCH(D270,CNTR_IOProcAndPrec,0),),C281)=0,"",INDEX(CNTR_IOProcAndPrec,MATCH(C281,INDEX(CNTR_IOSupplyChain,MATCH(D270,CNTR_IOProcAndPrec,0),),0))))</f>
        <v/>
      </c>
      <c r="E281" s="1415"/>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14" t="str">
        <f>IF(D270="","",IF(COUNTIF(INDEX(CNTR_IOSupplyChain,MATCH(D270,CNTR_IOProcAndPrec,0),),C282)=0,"",INDEX(CNTR_IOProcAndPrec,MATCH(C282,INDEX(CNTR_IOSupplyChain,MATCH(D270,CNTR_IOProcAndPrec,0),),0))))</f>
        <v/>
      </c>
      <c r="E282" s="1415"/>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14" t="str">
        <f>IF(D270="","",IF(COUNTIF(INDEX(CNTR_IOSupplyChain,MATCH(D270,CNTR_IOProcAndPrec,0),),C283)=0,"",INDEX(CNTR_IOProcAndPrec,MATCH(C283,INDEX(CNTR_IOSupplyChain,MATCH(D270,CNTR_IOProcAndPrec,0),),0))))</f>
        <v/>
      </c>
      <c r="E283" s="1415"/>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14" t="str">
        <f>IF(D270="","",IF(COUNTIF(INDEX(CNTR_IOSupplyChain,MATCH(D270,CNTR_IOProcAndPrec,0),),C284)=0,"",INDEX(CNTR_IOProcAndPrec,MATCH(C284,INDEX(CNTR_IOSupplyChain,MATCH(D270,CNTR_IOProcAndPrec,0),),0))))</f>
        <v/>
      </c>
      <c r="E284" s="1415"/>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14" t="str">
        <f>IF(D270="","",IF(COUNTIF(INDEX(CNTR_IOSupplyChain,MATCH(D270,CNTR_IOProcAndPrec,0),),C285)=0,"",INDEX(CNTR_IOProcAndPrec,MATCH(C285,INDEX(CNTR_IOSupplyChain,MATCH(D270,CNTR_IOProcAndPrec,0),),0))))</f>
        <v/>
      </c>
      <c r="E285" s="1415"/>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14" t="str">
        <f>IF(D270="","",IF(COUNTIF(INDEX(CNTR_IOSupplyChain,MATCH(D270,CNTR_IOProcAndPrec,0),),C286)=0,"",INDEX(CNTR_IOProcAndPrec,MATCH(C286,INDEX(CNTR_IOSupplyChain,MATCH(D270,CNTR_IOProcAndPrec,0),),0))))</f>
        <v/>
      </c>
      <c r="E286" s="1415"/>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14" t="str">
        <f>IF(D270="","",IF(COUNTIF(INDEX(CNTR_IOSupplyChain,MATCH(D270,CNTR_IOProcAndPrec,0),),C287)=0,"",INDEX(CNTR_IOProcAndPrec,MATCH(C287,INDEX(CNTR_IOSupplyChain,MATCH(D270,CNTR_IOProcAndPrec,0),),0))))</f>
        <v/>
      </c>
      <c r="E287" s="1415"/>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14" t="str">
        <f>IF(D270="","",IF(COUNTIF(INDEX(CNTR_IOSupplyChain,MATCH(D270,CNTR_IOProcAndPrec,0),),C288)=0,"",INDEX(CNTR_IOProcAndPrec,MATCH(C288,INDEX(CNTR_IOSupplyChain,MATCH(D270,CNTR_IOProcAndPrec,0),),0))))</f>
        <v/>
      </c>
      <c r="E288" s="1415"/>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14" t="str">
        <f>IF(D270="","",IF(COUNTIF(INDEX(CNTR_IOSupplyChain,MATCH(D270,CNTR_IOProcAndPrec,0),),C289)=0,"",INDEX(CNTR_IOProcAndPrec,MATCH(C289,INDEX(CNTR_IOSupplyChain,MATCH(D270,CNTR_IOProcAndPrec,0),),0))))</f>
        <v/>
      </c>
      <c r="E289" s="1415"/>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14" t="str">
        <f>IF(D270="","",IF(COUNTIF(INDEX(CNTR_IOSupplyChain,MATCH(D270,CNTR_IOProcAndPrec,0),),C290)=0,"",INDEX(CNTR_IOProcAndPrec,MATCH(C290,INDEX(CNTR_IOSupplyChain,MATCH(D270,CNTR_IOProcAndPrec,0),),0))))</f>
        <v/>
      </c>
      <c r="E290" s="1415"/>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14" t="str">
        <f>IF(D270="","",IF(COUNTIF(INDEX(CNTR_IOSupplyChain,MATCH(D270,CNTR_IOProcAndPrec,0),),C291)=0,"",INDEX(CNTR_IOProcAndPrec,MATCH(C291,INDEX(CNTR_IOSupplyChain,MATCH(D270,CNTR_IOProcAndPrec,0),),0))))</f>
        <v/>
      </c>
      <c r="E291" s="1415"/>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14" t="str">
        <f>IF(D270="","",IF(COUNTIF(INDEX(CNTR_IOSupplyChain,MATCH(D270,CNTR_IOProcAndPrec,0),),C292)=0,"",INDEX(CNTR_IOProcAndPrec,MATCH(C292,INDEX(CNTR_IOSupplyChain,MATCH(D270,CNTR_IOProcAndPrec,0),),0))))</f>
        <v/>
      </c>
      <c r="E292" s="1415"/>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14" t="str">
        <f>IF(D270="","",IF(COUNTIF(INDEX(CNTR_IOSupplyChain,MATCH(D270,CNTR_IOProcAndPrec,0),),C293)=0,"",INDEX(CNTR_IOProcAndPrec,MATCH(C293,INDEX(CNTR_IOSupplyChain,MATCH(D270,CNTR_IOProcAndPrec,0),),0))))</f>
        <v/>
      </c>
      <c r="E293" s="1415"/>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14" t="str">
        <f>IF(D270="","",IF(COUNTIF(INDEX(CNTR_IOSupplyChain,MATCH(D270,CNTR_IOProcAndPrec,0),),C294)=0,"",INDEX(CNTR_IOProcAndPrec,MATCH(C294,INDEX(CNTR_IOSupplyChain,MATCH(D270,CNTR_IOProcAndPrec,0),),0))))</f>
        <v/>
      </c>
      <c r="E294" s="1415"/>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14" t="str">
        <f>IF(D270="","",IF(COUNTIF(INDEX(CNTR_IOSupplyChain,MATCH(D270,CNTR_IOProcAndPrec,0),),C295)=0,"",INDEX(CNTR_IOProcAndPrec,MATCH(C295,INDEX(CNTR_IOSupplyChain,MATCH(D270,CNTR_IOProcAndPrec,0),),0))))</f>
        <v/>
      </c>
      <c r="E295" s="1415"/>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14" t="str">
        <f>IF(D270="","",IF(COUNTIF(INDEX(CNTR_IOSupplyChain,MATCH(D270,CNTR_IOProcAndPrec,0),),C296)=0,"",INDEX(CNTR_IOProcAndPrec,MATCH(C296,INDEX(CNTR_IOSupplyChain,MATCH(D270,CNTR_IOProcAndPrec,0),),0))))</f>
        <v/>
      </c>
      <c r="E296" s="1415"/>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14" t="str">
        <f>IF(D270="","",IF(COUNTIF(INDEX(CNTR_IOSupplyChain,MATCH(D270,CNTR_IOProcAndPrec,0),),C297)=0,"",INDEX(CNTR_IOProcAndPrec,MATCH(C297,INDEX(CNTR_IOSupplyChain,MATCH(D270,CNTR_IOProcAndPrec,0),),0))))</f>
        <v/>
      </c>
      <c r="E297" s="1415"/>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14" t="str">
        <f>IF(D270="","",IF(COUNTIF(INDEX(CNTR_IOSupplyChain,MATCH(D270,CNTR_IOProcAndPrec,0),),C298)=0,"",INDEX(CNTR_IOProcAndPrec,MATCH(C298,INDEX(CNTR_IOSupplyChain,MATCH(D270,CNTR_IOProcAndPrec,0),),0))))</f>
        <v/>
      </c>
      <c r="E298" s="1415"/>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14" t="str">
        <f>IF(D270="","",IF(COUNTIF(INDEX(CNTR_IOSupplyChain,MATCH(D270,CNTR_IOProcAndPrec,0),),C299)=0,"",INDEX(CNTR_IOProcAndPrec,MATCH(C299,INDEX(CNTR_IOSupplyChain,MATCH(D270,CNTR_IOProcAndPrec,0),),0))))</f>
        <v/>
      </c>
      <c r="E299" s="1415"/>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14" t="str">
        <f>IF(D270="","",IF(COUNTIF(INDEX(CNTR_IOSupplyChain,MATCH(D270,CNTR_IOProcAndPrec,0),),C300)=0,"",INDEX(CNTR_IOProcAndPrec,MATCH(C300,INDEX(CNTR_IOSupplyChain,MATCH(D270,CNTR_IOProcAndPrec,0),),0))))</f>
        <v/>
      </c>
      <c r="E300" s="1415"/>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14" t="str">
        <f>IF(D270="","",IF(COUNTIF(INDEX(CNTR_IOSupplyChain,MATCH(D270,CNTR_IOProcAndPrec,0),),C301)=0,"",INDEX(CNTR_IOProcAndPrec,MATCH(C301,INDEX(CNTR_IOSupplyChain,MATCH(D270,CNTR_IOProcAndPrec,0),),0))))</f>
        <v/>
      </c>
      <c r="E301" s="1415"/>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14" t="str">
        <f>IF(D270="","",IF(COUNTIF(INDEX(CNTR_IOSupplyChain,MATCH(D270,CNTR_IOProcAndPrec,0),),C302)=0,"",INDEX(CNTR_IOProcAndPrec,MATCH(C302,INDEX(CNTR_IOSupplyChain,MATCH(D270,CNTR_IOProcAndPrec,0),),0))))</f>
        <v/>
      </c>
      <c r="E302" s="1415"/>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48" t="str">
        <f>IF(D270="","",IF(COUNTIF(INDEX(CNTR_IOSupplyChain,MATCH(D270,CNTR_IOProcAndPrec,0),),C303)=0,"",INDEX(CNTR_IOProcAndPrec,MATCH(C303,INDEX(CNTR_IOSupplyChain,MATCH(D270,CNTR_IOProcAndPrec,0),),0))))</f>
        <v/>
      </c>
      <c r="E303" s="1449"/>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36">
        <f>C270+1</f>
        <v>5</v>
      </c>
      <c r="D306" s="1418" t="str">
        <f>IF(INDEX(CNTR_List_ExistProdProcNames,C306)=CONST_NA,"",INDEX(CNTR_List_ExistProdProcNames,C306))</f>
        <v/>
      </c>
      <c r="E306" s="1419"/>
      <c r="F306" s="1416" t="str">
        <f>Translations!$B$107</f>
        <v>Aggregated goods category</v>
      </c>
      <c r="G306" s="250" t="str">
        <f>Translations!$B$584</f>
        <v>Mass share</v>
      </c>
      <c r="H306" s="144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45" t="str">
        <f>Translations!$B$594</f>
        <v>Source of electricity EF</v>
      </c>
      <c r="P306" s="250" t="str">
        <f>Translations!$B$480</f>
        <v>Embedded electricity</v>
      </c>
      <c r="Q306" s="1412" t="str">
        <f>Translations!$B$1957</f>
        <v>Country code</v>
      </c>
      <c r="R306" s="1441" t="str">
        <f>Translations!$B$351</f>
        <v>CP due (per produced t or MWh)</v>
      </c>
      <c r="S306" s="1443"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37"/>
      <c r="D307" s="1420"/>
      <c r="E307" s="1421"/>
      <c r="F307" s="1417"/>
      <c r="G307" s="251" t="str">
        <f>IF($F308="",CONST_t,INDEX(CONST_LIST_GoodsUnit,MATCH($F308,CONST_LIST_Goods,0))) &amp;"/"&amp; IF($F308="",CONST_t,INDEX(CONST_LIST_GoodsUnit,MATCH($F308,CONST_LIST_Goods,0)))</f>
        <v>t/t</v>
      </c>
      <c r="H307" s="144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46"/>
      <c r="P307" s="251" t="str">
        <f>CONST_MWh &amp; "/" &amp; IF($F308="",CONST_t,INDEX(CONST_LIST_GoodsUnit,MATCH($F308,CONST_LIST_Goods,0)))</f>
        <v>MWh/t</v>
      </c>
      <c r="Q307" s="1413"/>
      <c r="R307" s="1442"/>
      <c r="S307" s="1444"/>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38"/>
      <c r="D308" s="1426" t="str">
        <f>Translations!$B$600</f>
        <v>Total production process</v>
      </c>
      <c r="E308" s="1427"/>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28" t="str">
        <f>D306</f>
        <v/>
      </c>
      <c r="E309" s="1429"/>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9" t="str">
        <f>IF(D306="","",IF(COUNTIF(INDEX(CNTR_IOSupplyChain,MATCH(D306,CNTR_IOProcAndPrec,0),),C310)=0,"",INDEX(CNTR_IOProcAndPrec,MATCH(C310,INDEX(CNTR_IOSupplyChain,MATCH(D306,CNTR_IOProcAndPrec,0),),0))))</f>
        <v/>
      </c>
      <c r="E310" s="1440"/>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14" t="str">
        <f>IF(D306="","",IF(COUNTIF(INDEX(CNTR_IOSupplyChain,MATCH(D306,CNTR_IOProcAndPrec,0),),C311)=0,"",INDEX(CNTR_IOProcAndPrec,MATCH(C311,INDEX(CNTR_IOSupplyChain,MATCH(D306,CNTR_IOProcAndPrec,0),),0))))</f>
        <v/>
      </c>
      <c r="E311" s="1415"/>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14" t="str">
        <f>IF(D306="","",IF(COUNTIF(INDEX(CNTR_IOSupplyChain,MATCH(D306,CNTR_IOProcAndPrec,0),),C312)=0,"",INDEX(CNTR_IOProcAndPrec,MATCH(C312,INDEX(CNTR_IOSupplyChain,MATCH(D306,CNTR_IOProcAndPrec,0),),0))))</f>
        <v/>
      </c>
      <c r="E312" s="1415"/>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14" t="str">
        <f>IF(D306="","",IF(COUNTIF(INDEX(CNTR_IOSupplyChain,MATCH(D306,CNTR_IOProcAndPrec,0),),C313)=0,"",INDEX(CNTR_IOProcAndPrec,MATCH(C313,INDEX(CNTR_IOSupplyChain,MATCH(D306,CNTR_IOProcAndPrec,0),),0))))</f>
        <v/>
      </c>
      <c r="E313" s="1415"/>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14" t="str">
        <f>IF(D306="","",IF(COUNTIF(INDEX(CNTR_IOSupplyChain,MATCH(D306,CNTR_IOProcAndPrec,0),),C314)=0,"",INDEX(CNTR_IOProcAndPrec,MATCH(C314,INDEX(CNTR_IOSupplyChain,MATCH(D306,CNTR_IOProcAndPrec,0),),0))))</f>
        <v/>
      </c>
      <c r="E314" s="1415"/>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14" t="str">
        <f>IF(D306="","",IF(COUNTIF(INDEX(CNTR_IOSupplyChain,MATCH(D306,CNTR_IOProcAndPrec,0),),C315)=0,"",INDEX(CNTR_IOProcAndPrec,MATCH(C315,INDEX(CNTR_IOSupplyChain,MATCH(D306,CNTR_IOProcAndPrec,0),),0))))</f>
        <v/>
      </c>
      <c r="E315" s="1415"/>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14" t="str">
        <f>IF(D306="","",IF(COUNTIF(INDEX(CNTR_IOSupplyChain,MATCH(D306,CNTR_IOProcAndPrec,0),),C316)=0,"",INDEX(CNTR_IOProcAndPrec,MATCH(C316,INDEX(CNTR_IOSupplyChain,MATCH(D306,CNTR_IOProcAndPrec,0),),0))))</f>
        <v/>
      </c>
      <c r="E316" s="1415"/>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14" t="str">
        <f>IF(D306="","",IF(COUNTIF(INDEX(CNTR_IOSupplyChain,MATCH(D306,CNTR_IOProcAndPrec,0),),C317)=0,"",INDEX(CNTR_IOProcAndPrec,MATCH(C317,INDEX(CNTR_IOSupplyChain,MATCH(D306,CNTR_IOProcAndPrec,0),),0))))</f>
        <v/>
      </c>
      <c r="E317" s="1415"/>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14" t="str">
        <f>IF(D306="","",IF(COUNTIF(INDEX(CNTR_IOSupplyChain,MATCH(D306,CNTR_IOProcAndPrec,0),),C318)=0,"",INDEX(CNTR_IOProcAndPrec,MATCH(C318,INDEX(CNTR_IOSupplyChain,MATCH(D306,CNTR_IOProcAndPrec,0),),0))))</f>
        <v/>
      </c>
      <c r="E318" s="1415"/>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14" t="str">
        <f>IF(D306="","",IF(COUNTIF(INDEX(CNTR_IOSupplyChain,MATCH(D306,CNTR_IOProcAndPrec,0),),C319)=0,"",INDEX(CNTR_IOProcAndPrec,MATCH(C319,INDEX(CNTR_IOSupplyChain,MATCH(D306,CNTR_IOProcAndPrec,0),),0))))</f>
        <v/>
      </c>
      <c r="E319" s="1415"/>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14" t="str">
        <f>IF(D306="","",IF(COUNTIF(INDEX(CNTR_IOSupplyChain,MATCH(D306,CNTR_IOProcAndPrec,0),),C320)=0,"",INDEX(CNTR_IOProcAndPrec,MATCH(C320,INDEX(CNTR_IOSupplyChain,MATCH(D306,CNTR_IOProcAndPrec,0),),0))))</f>
        <v/>
      </c>
      <c r="E320" s="1415"/>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14" t="str">
        <f>IF(D306="","",IF(COUNTIF(INDEX(CNTR_IOSupplyChain,MATCH(D306,CNTR_IOProcAndPrec,0),),C321)=0,"",INDEX(CNTR_IOProcAndPrec,MATCH(C321,INDEX(CNTR_IOSupplyChain,MATCH(D306,CNTR_IOProcAndPrec,0),),0))))</f>
        <v/>
      </c>
      <c r="E321" s="1415"/>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14" t="str">
        <f>IF(D306="","",IF(COUNTIF(INDEX(CNTR_IOSupplyChain,MATCH(D306,CNTR_IOProcAndPrec,0),),C322)=0,"",INDEX(CNTR_IOProcAndPrec,MATCH(C322,INDEX(CNTR_IOSupplyChain,MATCH(D306,CNTR_IOProcAndPrec,0),),0))))</f>
        <v/>
      </c>
      <c r="E322" s="1415"/>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14" t="str">
        <f>IF(D306="","",IF(COUNTIF(INDEX(CNTR_IOSupplyChain,MATCH(D306,CNTR_IOProcAndPrec,0),),C323)=0,"",INDEX(CNTR_IOProcAndPrec,MATCH(C323,INDEX(CNTR_IOSupplyChain,MATCH(D306,CNTR_IOProcAndPrec,0),),0))))</f>
        <v/>
      </c>
      <c r="E323" s="1415"/>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14" t="str">
        <f>IF(D306="","",IF(COUNTIF(INDEX(CNTR_IOSupplyChain,MATCH(D306,CNTR_IOProcAndPrec,0),),C324)=0,"",INDEX(CNTR_IOProcAndPrec,MATCH(C324,INDEX(CNTR_IOSupplyChain,MATCH(D306,CNTR_IOProcAndPrec,0),),0))))</f>
        <v/>
      </c>
      <c r="E324" s="1415"/>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14" t="str">
        <f>IF(D306="","",IF(COUNTIF(INDEX(CNTR_IOSupplyChain,MATCH(D306,CNTR_IOProcAndPrec,0),),C325)=0,"",INDEX(CNTR_IOProcAndPrec,MATCH(C325,INDEX(CNTR_IOSupplyChain,MATCH(D306,CNTR_IOProcAndPrec,0),),0))))</f>
        <v/>
      </c>
      <c r="E325" s="1415"/>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14" t="str">
        <f>IF(D306="","",IF(COUNTIF(INDEX(CNTR_IOSupplyChain,MATCH(D306,CNTR_IOProcAndPrec,0),),C326)=0,"",INDEX(CNTR_IOProcAndPrec,MATCH(C326,INDEX(CNTR_IOSupplyChain,MATCH(D306,CNTR_IOProcAndPrec,0),),0))))</f>
        <v/>
      </c>
      <c r="E326" s="1415"/>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14" t="str">
        <f>IF(D306="","",IF(COUNTIF(INDEX(CNTR_IOSupplyChain,MATCH(D306,CNTR_IOProcAndPrec,0),),C327)=0,"",INDEX(CNTR_IOProcAndPrec,MATCH(C327,INDEX(CNTR_IOSupplyChain,MATCH(D306,CNTR_IOProcAndPrec,0),),0))))</f>
        <v/>
      </c>
      <c r="E327" s="1415"/>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14" t="str">
        <f>IF(D306="","",IF(COUNTIF(INDEX(CNTR_IOSupplyChain,MATCH(D306,CNTR_IOProcAndPrec,0),),C328)=0,"",INDEX(CNTR_IOProcAndPrec,MATCH(C328,INDEX(CNTR_IOSupplyChain,MATCH(D306,CNTR_IOProcAndPrec,0),),0))))</f>
        <v/>
      </c>
      <c r="E328" s="1415"/>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14" t="str">
        <f>IF(D306="","",IF(COUNTIF(INDEX(CNTR_IOSupplyChain,MATCH(D306,CNTR_IOProcAndPrec,0),),C329)=0,"",INDEX(CNTR_IOProcAndPrec,MATCH(C329,INDEX(CNTR_IOSupplyChain,MATCH(D306,CNTR_IOProcAndPrec,0),),0))))</f>
        <v/>
      </c>
      <c r="E329" s="1415"/>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14" t="str">
        <f>IF(D306="","",IF(COUNTIF(INDEX(CNTR_IOSupplyChain,MATCH(D306,CNTR_IOProcAndPrec,0),),C330)=0,"",INDEX(CNTR_IOProcAndPrec,MATCH(C330,INDEX(CNTR_IOSupplyChain,MATCH(D306,CNTR_IOProcAndPrec,0),),0))))</f>
        <v/>
      </c>
      <c r="E330" s="1415"/>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14" t="str">
        <f>IF(D306="","",IF(COUNTIF(INDEX(CNTR_IOSupplyChain,MATCH(D306,CNTR_IOProcAndPrec,0),),C331)=0,"",INDEX(CNTR_IOProcAndPrec,MATCH(C331,INDEX(CNTR_IOSupplyChain,MATCH(D306,CNTR_IOProcAndPrec,0),),0))))</f>
        <v/>
      </c>
      <c r="E331" s="1415"/>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14" t="str">
        <f>IF(D306="","",IF(COUNTIF(INDEX(CNTR_IOSupplyChain,MATCH(D306,CNTR_IOProcAndPrec,0),),C332)=0,"",INDEX(CNTR_IOProcAndPrec,MATCH(C332,INDEX(CNTR_IOSupplyChain,MATCH(D306,CNTR_IOProcAndPrec,0),),0))))</f>
        <v/>
      </c>
      <c r="E332" s="1415"/>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14" t="str">
        <f>IF(D306="","",IF(COUNTIF(INDEX(CNTR_IOSupplyChain,MATCH(D306,CNTR_IOProcAndPrec,0),),C333)=0,"",INDEX(CNTR_IOProcAndPrec,MATCH(C333,INDEX(CNTR_IOSupplyChain,MATCH(D306,CNTR_IOProcAndPrec,0),),0))))</f>
        <v/>
      </c>
      <c r="E333" s="1415"/>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14" t="str">
        <f>IF(D306="","",IF(COUNTIF(INDEX(CNTR_IOSupplyChain,MATCH(D306,CNTR_IOProcAndPrec,0),),C334)=0,"",INDEX(CNTR_IOProcAndPrec,MATCH(C334,INDEX(CNTR_IOSupplyChain,MATCH(D306,CNTR_IOProcAndPrec,0),),0))))</f>
        <v/>
      </c>
      <c r="E334" s="1415"/>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14" t="str">
        <f>IF(D306="","",IF(COUNTIF(INDEX(CNTR_IOSupplyChain,MATCH(D306,CNTR_IOProcAndPrec,0),),C335)=0,"",INDEX(CNTR_IOProcAndPrec,MATCH(C335,INDEX(CNTR_IOSupplyChain,MATCH(D306,CNTR_IOProcAndPrec,0),),0))))</f>
        <v/>
      </c>
      <c r="E335" s="1415"/>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14" t="str">
        <f>IF(D306="","",IF(COUNTIF(INDEX(CNTR_IOSupplyChain,MATCH(D306,CNTR_IOProcAndPrec,0),),C336)=0,"",INDEX(CNTR_IOProcAndPrec,MATCH(C336,INDEX(CNTR_IOSupplyChain,MATCH(D306,CNTR_IOProcAndPrec,0),),0))))</f>
        <v/>
      </c>
      <c r="E336" s="1415"/>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14" t="str">
        <f>IF(D306="","",IF(COUNTIF(INDEX(CNTR_IOSupplyChain,MATCH(D306,CNTR_IOProcAndPrec,0),),C337)=0,"",INDEX(CNTR_IOProcAndPrec,MATCH(C337,INDEX(CNTR_IOSupplyChain,MATCH(D306,CNTR_IOProcAndPrec,0),),0))))</f>
        <v/>
      </c>
      <c r="E337" s="1415"/>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14" t="str">
        <f>IF(D306="","",IF(COUNTIF(INDEX(CNTR_IOSupplyChain,MATCH(D306,CNTR_IOProcAndPrec,0),),C338)=0,"",INDEX(CNTR_IOProcAndPrec,MATCH(C338,INDEX(CNTR_IOSupplyChain,MATCH(D306,CNTR_IOProcAndPrec,0),),0))))</f>
        <v/>
      </c>
      <c r="E338" s="1415"/>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48" t="str">
        <f>IF(D306="","",IF(COUNTIF(INDEX(CNTR_IOSupplyChain,MATCH(D306,CNTR_IOProcAndPrec,0),),C339)=0,"",INDEX(CNTR_IOProcAndPrec,MATCH(C339,INDEX(CNTR_IOSupplyChain,MATCH(D306,CNTR_IOProcAndPrec,0),),0))))</f>
        <v/>
      </c>
      <c r="E339" s="1449"/>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36">
        <f>C306+1</f>
        <v>6</v>
      </c>
      <c r="D342" s="1418" t="str">
        <f>IF(INDEX(CNTR_List_ExistProdProcNames,C342)=CONST_NA,"",INDEX(CNTR_List_ExistProdProcNames,C342))</f>
        <v/>
      </c>
      <c r="E342" s="1419"/>
      <c r="F342" s="1416" t="str">
        <f>Translations!$B$107</f>
        <v>Aggregated goods category</v>
      </c>
      <c r="G342" s="250" t="str">
        <f>Translations!$B$584</f>
        <v>Mass share</v>
      </c>
      <c r="H342" s="144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45" t="str">
        <f>Translations!$B$594</f>
        <v>Source of electricity EF</v>
      </c>
      <c r="P342" s="250" t="str">
        <f>Translations!$B$480</f>
        <v>Embedded electricity</v>
      </c>
      <c r="Q342" s="1412" t="str">
        <f>Translations!$B$1957</f>
        <v>Country code</v>
      </c>
      <c r="R342" s="1441" t="str">
        <f>Translations!$B$351</f>
        <v>CP due (per produced t or MWh)</v>
      </c>
      <c r="S342" s="1443"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37"/>
      <c r="D343" s="1420"/>
      <c r="E343" s="1421"/>
      <c r="F343" s="1417"/>
      <c r="G343" s="251" t="str">
        <f>IF($F344="",CONST_t,INDEX(CONST_LIST_GoodsUnit,MATCH($F344,CONST_LIST_Goods,0))) &amp;"/"&amp; IF($F344="",CONST_t,INDEX(CONST_LIST_GoodsUnit,MATCH($F344,CONST_LIST_Goods,0)))</f>
        <v>t/t</v>
      </c>
      <c r="H343" s="144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46"/>
      <c r="P343" s="251" t="str">
        <f>CONST_MWh &amp; "/" &amp; IF($F344="",CONST_t,INDEX(CONST_LIST_GoodsUnit,MATCH($F344,CONST_LIST_Goods,0)))</f>
        <v>MWh/t</v>
      </c>
      <c r="Q343" s="1413"/>
      <c r="R343" s="1442"/>
      <c r="S343" s="1444"/>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38"/>
      <c r="D344" s="1426" t="str">
        <f>Translations!$B$600</f>
        <v>Total production process</v>
      </c>
      <c r="E344" s="1427"/>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28" t="str">
        <f>D342</f>
        <v/>
      </c>
      <c r="E345" s="1429"/>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9" t="str">
        <f>IF(D342="","",IF(COUNTIF(INDEX(CNTR_IOSupplyChain,MATCH(D342,CNTR_IOProcAndPrec,0),),C346)=0,"",INDEX(CNTR_IOProcAndPrec,MATCH(C346,INDEX(CNTR_IOSupplyChain,MATCH(D342,CNTR_IOProcAndPrec,0),),0))))</f>
        <v/>
      </c>
      <c r="E346" s="1440"/>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14" t="str">
        <f>IF(D342="","",IF(COUNTIF(INDEX(CNTR_IOSupplyChain,MATCH(D342,CNTR_IOProcAndPrec,0),),C347)=0,"",INDEX(CNTR_IOProcAndPrec,MATCH(C347,INDEX(CNTR_IOSupplyChain,MATCH(D342,CNTR_IOProcAndPrec,0),),0))))</f>
        <v/>
      </c>
      <c r="E347" s="1415"/>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14" t="str">
        <f>IF(D342="","",IF(COUNTIF(INDEX(CNTR_IOSupplyChain,MATCH(D342,CNTR_IOProcAndPrec,0),),C348)=0,"",INDEX(CNTR_IOProcAndPrec,MATCH(C348,INDEX(CNTR_IOSupplyChain,MATCH(D342,CNTR_IOProcAndPrec,0),),0))))</f>
        <v/>
      </c>
      <c r="E348" s="1415"/>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14" t="str">
        <f>IF(D342="","",IF(COUNTIF(INDEX(CNTR_IOSupplyChain,MATCH(D342,CNTR_IOProcAndPrec,0),),C349)=0,"",INDEX(CNTR_IOProcAndPrec,MATCH(C349,INDEX(CNTR_IOSupplyChain,MATCH(D342,CNTR_IOProcAndPrec,0),),0))))</f>
        <v/>
      </c>
      <c r="E349" s="1415"/>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14" t="str">
        <f>IF(D342="","",IF(COUNTIF(INDEX(CNTR_IOSupplyChain,MATCH(D342,CNTR_IOProcAndPrec,0),),C350)=0,"",INDEX(CNTR_IOProcAndPrec,MATCH(C350,INDEX(CNTR_IOSupplyChain,MATCH(D342,CNTR_IOProcAndPrec,0),),0))))</f>
        <v/>
      </c>
      <c r="E350" s="1415"/>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14" t="str">
        <f>IF(D342="","",IF(COUNTIF(INDEX(CNTR_IOSupplyChain,MATCH(D342,CNTR_IOProcAndPrec,0),),C351)=0,"",INDEX(CNTR_IOProcAndPrec,MATCH(C351,INDEX(CNTR_IOSupplyChain,MATCH(D342,CNTR_IOProcAndPrec,0),),0))))</f>
        <v/>
      </c>
      <c r="E351" s="1415"/>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14" t="str">
        <f>IF(D342="","",IF(COUNTIF(INDEX(CNTR_IOSupplyChain,MATCH(D342,CNTR_IOProcAndPrec,0),),C352)=0,"",INDEX(CNTR_IOProcAndPrec,MATCH(C352,INDEX(CNTR_IOSupplyChain,MATCH(D342,CNTR_IOProcAndPrec,0),),0))))</f>
        <v/>
      </c>
      <c r="E352" s="1415"/>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14" t="str">
        <f>IF(D342="","",IF(COUNTIF(INDEX(CNTR_IOSupplyChain,MATCH(D342,CNTR_IOProcAndPrec,0),),C353)=0,"",INDEX(CNTR_IOProcAndPrec,MATCH(C353,INDEX(CNTR_IOSupplyChain,MATCH(D342,CNTR_IOProcAndPrec,0),),0))))</f>
        <v/>
      </c>
      <c r="E353" s="1415"/>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14" t="str">
        <f>IF(D342="","",IF(COUNTIF(INDEX(CNTR_IOSupplyChain,MATCH(D342,CNTR_IOProcAndPrec,0),),C354)=0,"",INDEX(CNTR_IOProcAndPrec,MATCH(C354,INDEX(CNTR_IOSupplyChain,MATCH(D342,CNTR_IOProcAndPrec,0),),0))))</f>
        <v/>
      </c>
      <c r="E354" s="1415"/>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14" t="str">
        <f>IF(D342="","",IF(COUNTIF(INDEX(CNTR_IOSupplyChain,MATCH(D342,CNTR_IOProcAndPrec,0),),C355)=0,"",INDEX(CNTR_IOProcAndPrec,MATCH(C355,INDEX(CNTR_IOSupplyChain,MATCH(D342,CNTR_IOProcAndPrec,0),),0))))</f>
        <v/>
      </c>
      <c r="E355" s="1415"/>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14" t="str">
        <f>IF(D342="","",IF(COUNTIF(INDEX(CNTR_IOSupplyChain,MATCH(D342,CNTR_IOProcAndPrec,0),),C356)=0,"",INDEX(CNTR_IOProcAndPrec,MATCH(C356,INDEX(CNTR_IOSupplyChain,MATCH(D342,CNTR_IOProcAndPrec,0),),0))))</f>
        <v/>
      </c>
      <c r="E356" s="1415"/>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14" t="str">
        <f>IF(D342="","",IF(COUNTIF(INDEX(CNTR_IOSupplyChain,MATCH(D342,CNTR_IOProcAndPrec,0),),C357)=0,"",INDEX(CNTR_IOProcAndPrec,MATCH(C357,INDEX(CNTR_IOSupplyChain,MATCH(D342,CNTR_IOProcAndPrec,0),),0))))</f>
        <v/>
      </c>
      <c r="E357" s="1415"/>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14" t="str">
        <f>IF(D342="","",IF(COUNTIF(INDEX(CNTR_IOSupplyChain,MATCH(D342,CNTR_IOProcAndPrec,0),),C358)=0,"",INDEX(CNTR_IOProcAndPrec,MATCH(C358,INDEX(CNTR_IOSupplyChain,MATCH(D342,CNTR_IOProcAndPrec,0),),0))))</f>
        <v/>
      </c>
      <c r="E358" s="1415"/>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14" t="str">
        <f>IF(D342="","",IF(COUNTIF(INDEX(CNTR_IOSupplyChain,MATCH(D342,CNTR_IOProcAndPrec,0),),C359)=0,"",INDEX(CNTR_IOProcAndPrec,MATCH(C359,INDEX(CNTR_IOSupplyChain,MATCH(D342,CNTR_IOProcAndPrec,0),),0))))</f>
        <v/>
      </c>
      <c r="E359" s="1415"/>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14" t="str">
        <f>IF(D342="","",IF(COUNTIF(INDEX(CNTR_IOSupplyChain,MATCH(D342,CNTR_IOProcAndPrec,0),),C360)=0,"",INDEX(CNTR_IOProcAndPrec,MATCH(C360,INDEX(CNTR_IOSupplyChain,MATCH(D342,CNTR_IOProcAndPrec,0),),0))))</f>
        <v/>
      </c>
      <c r="E360" s="1415"/>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14" t="str">
        <f>IF(D342="","",IF(COUNTIF(INDEX(CNTR_IOSupplyChain,MATCH(D342,CNTR_IOProcAndPrec,0),),C361)=0,"",INDEX(CNTR_IOProcAndPrec,MATCH(C361,INDEX(CNTR_IOSupplyChain,MATCH(D342,CNTR_IOProcAndPrec,0),),0))))</f>
        <v/>
      </c>
      <c r="E361" s="1415"/>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14" t="str">
        <f>IF(D342="","",IF(COUNTIF(INDEX(CNTR_IOSupplyChain,MATCH(D342,CNTR_IOProcAndPrec,0),),C362)=0,"",INDEX(CNTR_IOProcAndPrec,MATCH(C362,INDEX(CNTR_IOSupplyChain,MATCH(D342,CNTR_IOProcAndPrec,0),),0))))</f>
        <v/>
      </c>
      <c r="E362" s="1415"/>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14" t="str">
        <f>IF(D342="","",IF(COUNTIF(INDEX(CNTR_IOSupplyChain,MATCH(D342,CNTR_IOProcAndPrec,0),),C363)=0,"",INDEX(CNTR_IOProcAndPrec,MATCH(C363,INDEX(CNTR_IOSupplyChain,MATCH(D342,CNTR_IOProcAndPrec,0),),0))))</f>
        <v/>
      </c>
      <c r="E363" s="1415"/>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14" t="str">
        <f>IF(D342="","",IF(COUNTIF(INDEX(CNTR_IOSupplyChain,MATCH(D342,CNTR_IOProcAndPrec,0),),C364)=0,"",INDEX(CNTR_IOProcAndPrec,MATCH(C364,INDEX(CNTR_IOSupplyChain,MATCH(D342,CNTR_IOProcAndPrec,0),),0))))</f>
        <v/>
      </c>
      <c r="E364" s="1415"/>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14" t="str">
        <f>IF(D342="","",IF(COUNTIF(INDEX(CNTR_IOSupplyChain,MATCH(D342,CNTR_IOProcAndPrec,0),),C365)=0,"",INDEX(CNTR_IOProcAndPrec,MATCH(C365,INDEX(CNTR_IOSupplyChain,MATCH(D342,CNTR_IOProcAndPrec,0),),0))))</f>
        <v/>
      </c>
      <c r="E365" s="1415"/>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14" t="str">
        <f>IF(D342="","",IF(COUNTIF(INDEX(CNTR_IOSupplyChain,MATCH(D342,CNTR_IOProcAndPrec,0),),C366)=0,"",INDEX(CNTR_IOProcAndPrec,MATCH(C366,INDEX(CNTR_IOSupplyChain,MATCH(D342,CNTR_IOProcAndPrec,0),),0))))</f>
        <v/>
      </c>
      <c r="E366" s="1415"/>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14" t="str">
        <f>IF(D342="","",IF(COUNTIF(INDEX(CNTR_IOSupplyChain,MATCH(D342,CNTR_IOProcAndPrec,0),),C367)=0,"",INDEX(CNTR_IOProcAndPrec,MATCH(C367,INDEX(CNTR_IOSupplyChain,MATCH(D342,CNTR_IOProcAndPrec,0),),0))))</f>
        <v/>
      </c>
      <c r="E367" s="1415"/>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14" t="str">
        <f>IF(D342="","",IF(COUNTIF(INDEX(CNTR_IOSupplyChain,MATCH(D342,CNTR_IOProcAndPrec,0),),C368)=0,"",INDEX(CNTR_IOProcAndPrec,MATCH(C368,INDEX(CNTR_IOSupplyChain,MATCH(D342,CNTR_IOProcAndPrec,0),),0))))</f>
        <v/>
      </c>
      <c r="E368" s="1415"/>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14" t="str">
        <f>IF(D342="","",IF(COUNTIF(INDEX(CNTR_IOSupplyChain,MATCH(D342,CNTR_IOProcAndPrec,0),),C369)=0,"",INDEX(CNTR_IOProcAndPrec,MATCH(C369,INDEX(CNTR_IOSupplyChain,MATCH(D342,CNTR_IOProcAndPrec,0),),0))))</f>
        <v/>
      </c>
      <c r="E369" s="1415"/>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14" t="str">
        <f>IF(D342="","",IF(COUNTIF(INDEX(CNTR_IOSupplyChain,MATCH(D342,CNTR_IOProcAndPrec,0),),C370)=0,"",INDEX(CNTR_IOProcAndPrec,MATCH(C370,INDEX(CNTR_IOSupplyChain,MATCH(D342,CNTR_IOProcAndPrec,0),),0))))</f>
        <v/>
      </c>
      <c r="E370" s="1415"/>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14" t="str">
        <f>IF(D342="","",IF(COUNTIF(INDEX(CNTR_IOSupplyChain,MATCH(D342,CNTR_IOProcAndPrec,0),),C371)=0,"",INDEX(CNTR_IOProcAndPrec,MATCH(C371,INDEX(CNTR_IOSupplyChain,MATCH(D342,CNTR_IOProcAndPrec,0),),0))))</f>
        <v/>
      </c>
      <c r="E371" s="1415"/>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14" t="str">
        <f>IF(D342="","",IF(COUNTIF(INDEX(CNTR_IOSupplyChain,MATCH(D342,CNTR_IOProcAndPrec,0),),C372)=0,"",INDEX(CNTR_IOProcAndPrec,MATCH(C372,INDEX(CNTR_IOSupplyChain,MATCH(D342,CNTR_IOProcAndPrec,0),),0))))</f>
        <v/>
      </c>
      <c r="E372" s="1415"/>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14" t="str">
        <f>IF(D342="","",IF(COUNTIF(INDEX(CNTR_IOSupplyChain,MATCH(D342,CNTR_IOProcAndPrec,0),),C373)=0,"",INDEX(CNTR_IOProcAndPrec,MATCH(C373,INDEX(CNTR_IOSupplyChain,MATCH(D342,CNTR_IOProcAndPrec,0),),0))))</f>
        <v/>
      </c>
      <c r="E373" s="1415"/>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14" t="str">
        <f>IF(D342="","",IF(COUNTIF(INDEX(CNTR_IOSupplyChain,MATCH(D342,CNTR_IOProcAndPrec,0),),C374)=0,"",INDEX(CNTR_IOProcAndPrec,MATCH(C374,INDEX(CNTR_IOSupplyChain,MATCH(D342,CNTR_IOProcAndPrec,0),),0))))</f>
        <v/>
      </c>
      <c r="E374" s="1415"/>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48" t="str">
        <f>IF(D342="","",IF(COUNTIF(INDEX(CNTR_IOSupplyChain,MATCH(D342,CNTR_IOProcAndPrec,0),),C375)=0,"",INDEX(CNTR_IOProcAndPrec,MATCH(C375,INDEX(CNTR_IOSupplyChain,MATCH(D342,CNTR_IOProcAndPrec,0),),0))))</f>
        <v/>
      </c>
      <c r="E375" s="1449"/>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36">
        <f>C342+1</f>
        <v>7</v>
      </c>
      <c r="D378" s="1418" t="str">
        <f>IF(INDEX(CNTR_List_ExistProdProcNames,C378)=CONST_NA,"",INDEX(CNTR_List_ExistProdProcNames,C378))</f>
        <v/>
      </c>
      <c r="E378" s="1419"/>
      <c r="F378" s="1416" t="str">
        <f>Translations!$B$107</f>
        <v>Aggregated goods category</v>
      </c>
      <c r="G378" s="250" t="str">
        <f>Translations!$B$584</f>
        <v>Mass share</v>
      </c>
      <c r="H378" s="144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45" t="str">
        <f>Translations!$B$594</f>
        <v>Source of electricity EF</v>
      </c>
      <c r="P378" s="250" t="str">
        <f>Translations!$B$480</f>
        <v>Embedded electricity</v>
      </c>
      <c r="Q378" s="1412" t="str">
        <f>Translations!$B$1957</f>
        <v>Country code</v>
      </c>
      <c r="R378" s="1441" t="str">
        <f>Translations!$B$351</f>
        <v>CP due (per produced t or MWh)</v>
      </c>
      <c r="S378" s="1443"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37"/>
      <c r="D379" s="1420"/>
      <c r="E379" s="1421"/>
      <c r="F379" s="1417"/>
      <c r="G379" s="251" t="str">
        <f>IF($F380="",CONST_t,INDEX(CONST_LIST_GoodsUnit,MATCH($F380,CONST_LIST_Goods,0))) &amp;"/"&amp; IF($F380="",CONST_t,INDEX(CONST_LIST_GoodsUnit,MATCH($F380,CONST_LIST_Goods,0)))</f>
        <v>t/t</v>
      </c>
      <c r="H379" s="144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46"/>
      <c r="P379" s="251" t="str">
        <f>CONST_MWh &amp; "/" &amp; IF($F380="",CONST_t,INDEX(CONST_LIST_GoodsUnit,MATCH($F380,CONST_LIST_Goods,0)))</f>
        <v>MWh/t</v>
      </c>
      <c r="Q379" s="1413"/>
      <c r="R379" s="1442"/>
      <c r="S379" s="1444"/>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38"/>
      <c r="D380" s="1426" t="str">
        <f>Translations!$B$600</f>
        <v>Total production process</v>
      </c>
      <c r="E380" s="1427"/>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28" t="str">
        <f>D378</f>
        <v/>
      </c>
      <c r="E381" s="1429"/>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9" t="str">
        <f>IF(D378="","",IF(COUNTIF(INDEX(CNTR_IOSupplyChain,MATCH(D378,CNTR_IOProcAndPrec,0),),C382)=0,"",INDEX(CNTR_IOProcAndPrec,MATCH(C382,INDEX(CNTR_IOSupplyChain,MATCH(D378,CNTR_IOProcAndPrec,0),),0))))</f>
        <v/>
      </c>
      <c r="E382" s="1440"/>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14" t="str">
        <f>IF(D378="","",IF(COUNTIF(INDEX(CNTR_IOSupplyChain,MATCH(D378,CNTR_IOProcAndPrec,0),),C383)=0,"",INDEX(CNTR_IOProcAndPrec,MATCH(C383,INDEX(CNTR_IOSupplyChain,MATCH(D378,CNTR_IOProcAndPrec,0),),0))))</f>
        <v/>
      </c>
      <c r="E383" s="1415"/>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14" t="str">
        <f>IF(D378="","",IF(COUNTIF(INDEX(CNTR_IOSupplyChain,MATCH(D378,CNTR_IOProcAndPrec,0),),C384)=0,"",INDEX(CNTR_IOProcAndPrec,MATCH(C384,INDEX(CNTR_IOSupplyChain,MATCH(D378,CNTR_IOProcAndPrec,0),),0))))</f>
        <v/>
      </c>
      <c r="E384" s="1415"/>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14" t="str">
        <f>IF(D378="","",IF(COUNTIF(INDEX(CNTR_IOSupplyChain,MATCH(D378,CNTR_IOProcAndPrec,0),),C385)=0,"",INDEX(CNTR_IOProcAndPrec,MATCH(C385,INDEX(CNTR_IOSupplyChain,MATCH(D378,CNTR_IOProcAndPrec,0),),0))))</f>
        <v/>
      </c>
      <c r="E385" s="1415"/>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14" t="str">
        <f>IF(D378="","",IF(COUNTIF(INDEX(CNTR_IOSupplyChain,MATCH(D378,CNTR_IOProcAndPrec,0),),C386)=0,"",INDEX(CNTR_IOProcAndPrec,MATCH(C386,INDEX(CNTR_IOSupplyChain,MATCH(D378,CNTR_IOProcAndPrec,0),),0))))</f>
        <v/>
      </c>
      <c r="E386" s="1415"/>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14" t="str">
        <f>IF(D378="","",IF(COUNTIF(INDEX(CNTR_IOSupplyChain,MATCH(D378,CNTR_IOProcAndPrec,0),),C387)=0,"",INDEX(CNTR_IOProcAndPrec,MATCH(C387,INDEX(CNTR_IOSupplyChain,MATCH(D378,CNTR_IOProcAndPrec,0),),0))))</f>
        <v/>
      </c>
      <c r="E387" s="1415"/>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14" t="str">
        <f>IF(D378="","",IF(COUNTIF(INDEX(CNTR_IOSupplyChain,MATCH(D378,CNTR_IOProcAndPrec,0),),C388)=0,"",INDEX(CNTR_IOProcAndPrec,MATCH(C388,INDEX(CNTR_IOSupplyChain,MATCH(D378,CNTR_IOProcAndPrec,0),),0))))</f>
        <v/>
      </c>
      <c r="E388" s="1415"/>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14" t="str">
        <f>IF(D378="","",IF(COUNTIF(INDEX(CNTR_IOSupplyChain,MATCH(D378,CNTR_IOProcAndPrec,0),),C389)=0,"",INDEX(CNTR_IOProcAndPrec,MATCH(C389,INDEX(CNTR_IOSupplyChain,MATCH(D378,CNTR_IOProcAndPrec,0),),0))))</f>
        <v/>
      </c>
      <c r="E389" s="1415"/>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14" t="str">
        <f>IF(D378="","",IF(COUNTIF(INDEX(CNTR_IOSupplyChain,MATCH(D378,CNTR_IOProcAndPrec,0),),C390)=0,"",INDEX(CNTR_IOProcAndPrec,MATCH(C390,INDEX(CNTR_IOSupplyChain,MATCH(D378,CNTR_IOProcAndPrec,0),),0))))</f>
        <v/>
      </c>
      <c r="E390" s="1415"/>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14" t="str">
        <f>IF(D378="","",IF(COUNTIF(INDEX(CNTR_IOSupplyChain,MATCH(D378,CNTR_IOProcAndPrec,0),),C391)=0,"",INDEX(CNTR_IOProcAndPrec,MATCH(C391,INDEX(CNTR_IOSupplyChain,MATCH(D378,CNTR_IOProcAndPrec,0),),0))))</f>
        <v/>
      </c>
      <c r="E391" s="1415"/>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14" t="str">
        <f>IF(D378="","",IF(COUNTIF(INDEX(CNTR_IOSupplyChain,MATCH(D378,CNTR_IOProcAndPrec,0),),C392)=0,"",INDEX(CNTR_IOProcAndPrec,MATCH(C392,INDEX(CNTR_IOSupplyChain,MATCH(D378,CNTR_IOProcAndPrec,0),),0))))</f>
        <v/>
      </c>
      <c r="E392" s="1415"/>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14" t="str">
        <f>IF(D378="","",IF(COUNTIF(INDEX(CNTR_IOSupplyChain,MATCH(D378,CNTR_IOProcAndPrec,0),),C393)=0,"",INDEX(CNTR_IOProcAndPrec,MATCH(C393,INDEX(CNTR_IOSupplyChain,MATCH(D378,CNTR_IOProcAndPrec,0),),0))))</f>
        <v/>
      </c>
      <c r="E393" s="1415"/>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14" t="str">
        <f>IF(D378="","",IF(COUNTIF(INDEX(CNTR_IOSupplyChain,MATCH(D378,CNTR_IOProcAndPrec,0),),C394)=0,"",INDEX(CNTR_IOProcAndPrec,MATCH(C394,INDEX(CNTR_IOSupplyChain,MATCH(D378,CNTR_IOProcAndPrec,0),),0))))</f>
        <v/>
      </c>
      <c r="E394" s="1415"/>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14" t="str">
        <f>IF(D378="","",IF(COUNTIF(INDEX(CNTR_IOSupplyChain,MATCH(D378,CNTR_IOProcAndPrec,0),),C395)=0,"",INDEX(CNTR_IOProcAndPrec,MATCH(C395,INDEX(CNTR_IOSupplyChain,MATCH(D378,CNTR_IOProcAndPrec,0),),0))))</f>
        <v/>
      </c>
      <c r="E395" s="1415"/>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14" t="str">
        <f>IF(D378="","",IF(COUNTIF(INDEX(CNTR_IOSupplyChain,MATCH(D378,CNTR_IOProcAndPrec,0),),C396)=0,"",INDEX(CNTR_IOProcAndPrec,MATCH(C396,INDEX(CNTR_IOSupplyChain,MATCH(D378,CNTR_IOProcAndPrec,0),),0))))</f>
        <v/>
      </c>
      <c r="E396" s="1415"/>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14" t="str">
        <f>IF(D378="","",IF(COUNTIF(INDEX(CNTR_IOSupplyChain,MATCH(D378,CNTR_IOProcAndPrec,0),),C397)=0,"",INDEX(CNTR_IOProcAndPrec,MATCH(C397,INDEX(CNTR_IOSupplyChain,MATCH(D378,CNTR_IOProcAndPrec,0),),0))))</f>
        <v/>
      </c>
      <c r="E397" s="1415"/>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14" t="str">
        <f>IF(D378="","",IF(COUNTIF(INDEX(CNTR_IOSupplyChain,MATCH(D378,CNTR_IOProcAndPrec,0),),C398)=0,"",INDEX(CNTR_IOProcAndPrec,MATCH(C398,INDEX(CNTR_IOSupplyChain,MATCH(D378,CNTR_IOProcAndPrec,0),),0))))</f>
        <v/>
      </c>
      <c r="E398" s="1415"/>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14" t="str">
        <f>IF(D378="","",IF(COUNTIF(INDEX(CNTR_IOSupplyChain,MATCH(D378,CNTR_IOProcAndPrec,0),),C399)=0,"",INDEX(CNTR_IOProcAndPrec,MATCH(C399,INDEX(CNTR_IOSupplyChain,MATCH(D378,CNTR_IOProcAndPrec,0),),0))))</f>
        <v/>
      </c>
      <c r="E399" s="1415"/>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14" t="str">
        <f>IF(D378="","",IF(COUNTIF(INDEX(CNTR_IOSupplyChain,MATCH(D378,CNTR_IOProcAndPrec,0),),C400)=0,"",INDEX(CNTR_IOProcAndPrec,MATCH(C400,INDEX(CNTR_IOSupplyChain,MATCH(D378,CNTR_IOProcAndPrec,0),),0))))</f>
        <v/>
      </c>
      <c r="E400" s="1415"/>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14" t="str">
        <f>IF(D378="","",IF(COUNTIF(INDEX(CNTR_IOSupplyChain,MATCH(D378,CNTR_IOProcAndPrec,0),),C401)=0,"",INDEX(CNTR_IOProcAndPrec,MATCH(C401,INDEX(CNTR_IOSupplyChain,MATCH(D378,CNTR_IOProcAndPrec,0),),0))))</f>
        <v/>
      </c>
      <c r="E401" s="1415"/>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14" t="str">
        <f>IF(D378="","",IF(COUNTIF(INDEX(CNTR_IOSupplyChain,MATCH(D378,CNTR_IOProcAndPrec,0),),C402)=0,"",INDEX(CNTR_IOProcAndPrec,MATCH(C402,INDEX(CNTR_IOSupplyChain,MATCH(D378,CNTR_IOProcAndPrec,0),),0))))</f>
        <v/>
      </c>
      <c r="E402" s="1415"/>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14" t="str">
        <f>IF(D378="","",IF(COUNTIF(INDEX(CNTR_IOSupplyChain,MATCH(D378,CNTR_IOProcAndPrec,0),),C403)=0,"",INDEX(CNTR_IOProcAndPrec,MATCH(C403,INDEX(CNTR_IOSupplyChain,MATCH(D378,CNTR_IOProcAndPrec,0),),0))))</f>
        <v/>
      </c>
      <c r="E403" s="1415"/>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14" t="str">
        <f>IF(D378="","",IF(COUNTIF(INDEX(CNTR_IOSupplyChain,MATCH(D378,CNTR_IOProcAndPrec,0),),C404)=0,"",INDEX(CNTR_IOProcAndPrec,MATCH(C404,INDEX(CNTR_IOSupplyChain,MATCH(D378,CNTR_IOProcAndPrec,0),),0))))</f>
        <v/>
      </c>
      <c r="E404" s="1415"/>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14" t="str">
        <f>IF(D378="","",IF(COUNTIF(INDEX(CNTR_IOSupplyChain,MATCH(D378,CNTR_IOProcAndPrec,0),),C405)=0,"",INDEX(CNTR_IOProcAndPrec,MATCH(C405,INDEX(CNTR_IOSupplyChain,MATCH(D378,CNTR_IOProcAndPrec,0),),0))))</f>
        <v/>
      </c>
      <c r="E405" s="1415"/>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14" t="str">
        <f>IF(D378="","",IF(COUNTIF(INDEX(CNTR_IOSupplyChain,MATCH(D378,CNTR_IOProcAndPrec,0),),C406)=0,"",INDEX(CNTR_IOProcAndPrec,MATCH(C406,INDEX(CNTR_IOSupplyChain,MATCH(D378,CNTR_IOProcAndPrec,0),),0))))</f>
        <v/>
      </c>
      <c r="E406" s="1415"/>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14" t="str">
        <f>IF(D378="","",IF(COUNTIF(INDEX(CNTR_IOSupplyChain,MATCH(D378,CNTR_IOProcAndPrec,0),),C407)=0,"",INDEX(CNTR_IOProcAndPrec,MATCH(C407,INDEX(CNTR_IOSupplyChain,MATCH(D378,CNTR_IOProcAndPrec,0),),0))))</f>
        <v/>
      </c>
      <c r="E407" s="1415"/>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14" t="str">
        <f>IF(D378="","",IF(COUNTIF(INDEX(CNTR_IOSupplyChain,MATCH(D378,CNTR_IOProcAndPrec,0),),C408)=0,"",INDEX(CNTR_IOProcAndPrec,MATCH(C408,INDEX(CNTR_IOSupplyChain,MATCH(D378,CNTR_IOProcAndPrec,0),),0))))</f>
        <v/>
      </c>
      <c r="E408" s="1415"/>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14" t="str">
        <f>IF(D378="","",IF(COUNTIF(INDEX(CNTR_IOSupplyChain,MATCH(D378,CNTR_IOProcAndPrec,0),),C409)=0,"",INDEX(CNTR_IOProcAndPrec,MATCH(C409,INDEX(CNTR_IOSupplyChain,MATCH(D378,CNTR_IOProcAndPrec,0),),0))))</f>
        <v/>
      </c>
      <c r="E409" s="1415"/>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14" t="str">
        <f>IF(D378="","",IF(COUNTIF(INDEX(CNTR_IOSupplyChain,MATCH(D378,CNTR_IOProcAndPrec,0),),C410)=0,"",INDEX(CNTR_IOProcAndPrec,MATCH(C410,INDEX(CNTR_IOSupplyChain,MATCH(D378,CNTR_IOProcAndPrec,0),),0))))</f>
        <v/>
      </c>
      <c r="E410" s="1415"/>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48" t="str">
        <f>IF(D378="","",IF(COUNTIF(INDEX(CNTR_IOSupplyChain,MATCH(D378,CNTR_IOProcAndPrec,0),),C411)=0,"",INDEX(CNTR_IOProcAndPrec,MATCH(C411,INDEX(CNTR_IOSupplyChain,MATCH(D378,CNTR_IOProcAndPrec,0),),0))))</f>
        <v/>
      </c>
      <c r="E411" s="1449"/>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36">
        <f>C378+1</f>
        <v>8</v>
      </c>
      <c r="D414" s="1418" t="str">
        <f>IF(INDEX(CNTR_List_ExistProdProcNames,C414)=CONST_NA,"",INDEX(CNTR_List_ExistProdProcNames,C414))</f>
        <v/>
      </c>
      <c r="E414" s="1419"/>
      <c r="F414" s="1416" t="str">
        <f>Translations!$B$107</f>
        <v>Aggregated goods category</v>
      </c>
      <c r="G414" s="250" t="str">
        <f>Translations!$B$584</f>
        <v>Mass share</v>
      </c>
      <c r="H414" s="144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45" t="str">
        <f>Translations!$B$594</f>
        <v>Source of electricity EF</v>
      </c>
      <c r="P414" s="250" t="str">
        <f>Translations!$B$480</f>
        <v>Embedded electricity</v>
      </c>
      <c r="Q414" s="1412" t="str">
        <f>Translations!$B$1957</f>
        <v>Country code</v>
      </c>
      <c r="R414" s="1441" t="str">
        <f>Translations!$B$351</f>
        <v>CP due (per produced t or MWh)</v>
      </c>
      <c r="S414" s="1443"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37"/>
      <c r="D415" s="1420"/>
      <c r="E415" s="1421"/>
      <c r="F415" s="1417"/>
      <c r="G415" s="251" t="str">
        <f>IF($F416="",CONST_t,INDEX(CONST_LIST_GoodsUnit,MATCH($F416,CONST_LIST_Goods,0))) &amp;"/"&amp; IF($F416="",CONST_t,INDEX(CONST_LIST_GoodsUnit,MATCH($F416,CONST_LIST_Goods,0)))</f>
        <v>t/t</v>
      </c>
      <c r="H415" s="144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46"/>
      <c r="P415" s="251" t="str">
        <f>CONST_MWh &amp; "/" &amp; IF($F416="",CONST_t,INDEX(CONST_LIST_GoodsUnit,MATCH($F416,CONST_LIST_Goods,0)))</f>
        <v>MWh/t</v>
      </c>
      <c r="Q415" s="1413"/>
      <c r="R415" s="1442"/>
      <c r="S415" s="1444"/>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38"/>
      <c r="D416" s="1426" t="str">
        <f>Translations!$B$600</f>
        <v>Total production process</v>
      </c>
      <c r="E416" s="1427"/>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28" t="str">
        <f>D414</f>
        <v/>
      </c>
      <c r="E417" s="1429"/>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9" t="str">
        <f>IF(D414="","",IF(COUNTIF(INDEX(CNTR_IOSupplyChain,MATCH(D414,CNTR_IOProcAndPrec,0),),C418)=0,"",INDEX(CNTR_IOProcAndPrec,MATCH(C418,INDEX(CNTR_IOSupplyChain,MATCH(D414,CNTR_IOProcAndPrec,0),),0))))</f>
        <v/>
      </c>
      <c r="E418" s="1440"/>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14" t="str">
        <f>IF(D414="","",IF(COUNTIF(INDEX(CNTR_IOSupplyChain,MATCH(D414,CNTR_IOProcAndPrec,0),),C419)=0,"",INDEX(CNTR_IOProcAndPrec,MATCH(C419,INDEX(CNTR_IOSupplyChain,MATCH(D414,CNTR_IOProcAndPrec,0),),0))))</f>
        <v/>
      </c>
      <c r="E419" s="1415"/>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14" t="str">
        <f>IF(D414="","",IF(COUNTIF(INDEX(CNTR_IOSupplyChain,MATCH(D414,CNTR_IOProcAndPrec,0),),C420)=0,"",INDEX(CNTR_IOProcAndPrec,MATCH(C420,INDEX(CNTR_IOSupplyChain,MATCH(D414,CNTR_IOProcAndPrec,0),),0))))</f>
        <v/>
      </c>
      <c r="E420" s="1415"/>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14" t="str">
        <f>IF(D414="","",IF(COUNTIF(INDEX(CNTR_IOSupplyChain,MATCH(D414,CNTR_IOProcAndPrec,0),),C421)=0,"",INDEX(CNTR_IOProcAndPrec,MATCH(C421,INDEX(CNTR_IOSupplyChain,MATCH(D414,CNTR_IOProcAndPrec,0),),0))))</f>
        <v/>
      </c>
      <c r="E421" s="1415"/>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14" t="str">
        <f>IF(D414="","",IF(COUNTIF(INDEX(CNTR_IOSupplyChain,MATCH(D414,CNTR_IOProcAndPrec,0),),C422)=0,"",INDEX(CNTR_IOProcAndPrec,MATCH(C422,INDEX(CNTR_IOSupplyChain,MATCH(D414,CNTR_IOProcAndPrec,0),),0))))</f>
        <v/>
      </c>
      <c r="E422" s="1415"/>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14" t="str">
        <f>IF(D414="","",IF(COUNTIF(INDEX(CNTR_IOSupplyChain,MATCH(D414,CNTR_IOProcAndPrec,0),),C423)=0,"",INDEX(CNTR_IOProcAndPrec,MATCH(C423,INDEX(CNTR_IOSupplyChain,MATCH(D414,CNTR_IOProcAndPrec,0),),0))))</f>
        <v/>
      </c>
      <c r="E423" s="1415"/>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14" t="str">
        <f>IF(D414="","",IF(COUNTIF(INDEX(CNTR_IOSupplyChain,MATCH(D414,CNTR_IOProcAndPrec,0),),C424)=0,"",INDEX(CNTR_IOProcAndPrec,MATCH(C424,INDEX(CNTR_IOSupplyChain,MATCH(D414,CNTR_IOProcAndPrec,0),),0))))</f>
        <v/>
      </c>
      <c r="E424" s="1415"/>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14" t="str">
        <f>IF(D414="","",IF(COUNTIF(INDEX(CNTR_IOSupplyChain,MATCH(D414,CNTR_IOProcAndPrec,0),),C425)=0,"",INDEX(CNTR_IOProcAndPrec,MATCH(C425,INDEX(CNTR_IOSupplyChain,MATCH(D414,CNTR_IOProcAndPrec,0),),0))))</f>
        <v/>
      </c>
      <c r="E425" s="1415"/>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14" t="str">
        <f>IF(D414="","",IF(COUNTIF(INDEX(CNTR_IOSupplyChain,MATCH(D414,CNTR_IOProcAndPrec,0),),C426)=0,"",INDEX(CNTR_IOProcAndPrec,MATCH(C426,INDEX(CNTR_IOSupplyChain,MATCH(D414,CNTR_IOProcAndPrec,0),),0))))</f>
        <v/>
      </c>
      <c r="E426" s="1415"/>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14" t="str">
        <f>IF(D414="","",IF(COUNTIF(INDEX(CNTR_IOSupplyChain,MATCH(D414,CNTR_IOProcAndPrec,0),),C427)=0,"",INDEX(CNTR_IOProcAndPrec,MATCH(C427,INDEX(CNTR_IOSupplyChain,MATCH(D414,CNTR_IOProcAndPrec,0),),0))))</f>
        <v/>
      </c>
      <c r="E427" s="1415"/>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14" t="str">
        <f>IF(D414="","",IF(COUNTIF(INDEX(CNTR_IOSupplyChain,MATCH(D414,CNTR_IOProcAndPrec,0),),C428)=0,"",INDEX(CNTR_IOProcAndPrec,MATCH(C428,INDEX(CNTR_IOSupplyChain,MATCH(D414,CNTR_IOProcAndPrec,0),),0))))</f>
        <v/>
      </c>
      <c r="E428" s="1415"/>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14" t="str">
        <f>IF(D414="","",IF(COUNTIF(INDEX(CNTR_IOSupplyChain,MATCH(D414,CNTR_IOProcAndPrec,0),),C429)=0,"",INDEX(CNTR_IOProcAndPrec,MATCH(C429,INDEX(CNTR_IOSupplyChain,MATCH(D414,CNTR_IOProcAndPrec,0),),0))))</f>
        <v/>
      </c>
      <c r="E429" s="1415"/>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14" t="str">
        <f>IF(D414="","",IF(COUNTIF(INDEX(CNTR_IOSupplyChain,MATCH(D414,CNTR_IOProcAndPrec,0),),C430)=0,"",INDEX(CNTR_IOProcAndPrec,MATCH(C430,INDEX(CNTR_IOSupplyChain,MATCH(D414,CNTR_IOProcAndPrec,0),),0))))</f>
        <v/>
      </c>
      <c r="E430" s="1415"/>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14" t="str">
        <f>IF(D414="","",IF(COUNTIF(INDEX(CNTR_IOSupplyChain,MATCH(D414,CNTR_IOProcAndPrec,0),),C431)=0,"",INDEX(CNTR_IOProcAndPrec,MATCH(C431,INDEX(CNTR_IOSupplyChain,MATCH(D414,CNTR_IOProcAndPrec,0),),0))))</f>
        <v/>
      </c>
      <c r="E431" s="1415"/>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14" t="str">
        <f>IF(D414="","",IF(COUNTIF(INDEX(CNTR_IOSupplyChain,MATCH(D414,CNTR_IOProcAndPrec,0),),C432)=0,"",INDEX(CNTR_IOProcAndPrec,MATCH(C432,INDEX(CNTR_IOSupplyChain,MATCH(D414,CNTR_IOProcAndPrec,0),),0))))</f>
        <v/>
      </c>
      <c r="E432" s="1415"/>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14" t="str">
        <f>IF(D414="","",IF(COUNTIF(INDEX(CNTR_IOSupplyChain,MATCH(D414,CNTR_IOProcAndPrec,0),),C433)=0,"",INDEX(CNTR_IOProcAndPrec,MATCH(C433,INDEX(CNTR_IOSupplyChain,MATCH(D414,CNTR_IOProcAndPrec,0),),0))))</f>
        <v/>
      </c>
      <c r="E433" s="1415"/>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14" t="str">
        <f>IF(D414="","",IF(COUNTIF(INDEX(CNTR_IOSupplyChain,MATCH(D414,CNTR_IOProcAndPrec,0),),C434)=0,"",INDEX(CNTR_IOProcAndPrec,MATCH(C434,INDEX(CNTR_IOSupplyChain,MATCH(D414,CNTR_IOProcAndPrec,0),),0))))</f>
        <v/>
      </c>
      <c r="E434" s="1415"/>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14" t="str">
        <f>IF(D414="","",IF(COUNTIF(INDEX(CNTR_IOSupplyChain,MATCH(D414,CNTR_IOProcAndPrec,0),),C435)=0,"",INDEX(CNTR_IOProcAndPrec,MATCH(C435,INDEX(CNTR_IOSupplyChain,MATCH(D414,CNTR_IOProcAndPrec,0),),0))))</f>
        <v/>
      </c>
      <c r="E435" s="1415"/>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14" t="str">
        <f>IF(D414="","",IF(COUNTIF(INDEX(CNTR_IOSupplyChain,MATCH(D414,CNTR_IOProcAndPrec,0),),C436)=0,"",INDEX(CNTR_IOProcAndPrec,MATCH(C436,INDEX(CNTR_IOSupplyChain,MATCH(D414,CNTR_IOProcAndPrec,0),),0))))</f>
        <v/>
      </c>
      <c r="E436" s="1415"/>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14" t="str">
        <f>IF(D414="","",IF(COUNTIF(INDEX(CNTR_IOSupplyChain,MATCH(D414,CNTR_IOProcAndPrec,0),),C437)=0,"",INDEX(CNTR_IOProcAndPrec,MATCH(C437,INDEX(CNTR_IOSupplyChain,MATCH(D414,CNTR_IOProcAndPrec,0),),0))))</f>
        <v/>
      </c>
      <c r="E437" s="1415"/>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14" t="str">
        <f>IF(D414="","",IF(COUNTIF(INDEX(CNTR_IOSupplyChain,MATCH(D414,CNTR_IOProcAndPrec,0),),C438)=0,"",INDEX(CNTR_IOProcAndPrec,MATCH(C438,INDEX(CNTR_IOSupplyChain,MATCH(D414,CNTR_IOProcAndPrec,0),),0))))</f>
        <v/>
      </c>
      <c r="E438" s="1415"/>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14" t="str">
        <f>IF(D414="","",IF(COUNTIF(INDEX(CNTR_IOSupplyChain,MATCH(D414,CNTR_IOProcAndPrec,0),),C439)=0,"",INDEX(CNTR_IOProcAndPrec,MATCH(C439,INDEX(CNTR_IOSupplyChain,MATCH(D414,CNTR_IOProcAndPrec,0),),0))))</f>
        <v/>
      </c>
      <c r="E439" s="1415"/>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14" t="str">
        <f>IF(D414="","",IF(COUNTIF(INDEX(CNTR_IOSupplyChain,MATCH(D414,CNTR_IOProcAndPrec,0),),C440)=0,"",INDEX(CNTR_IOProcAndPrec,MATCH(C440,INDEX(CNTR_IOSupplyChain,MATCH(D414,CNTR_IOProcAndPrec,0),),0))))</f>
        <v/>
      </c>
      <c r="E440" s="1415"/>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14" t="str">
        <f>IF(D414="","",IF(COUNTIF(INDEX(CNTR_IOSupplyChain,MATCH(D414,CNTR_IOProcAndPrec,0),),C441)=0,"",INDEX(CNTR_IOProcAndPrec,MATCH(C441,INDEX(CNTR_IOSupplyChain,MATCH(D414,CNTR_IOProcAndPrec,0),),0))))</f>
        <v/>
      </c>
      <c r="E441" s="1415"/>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14" t="str">
        <f>IF(D414="","",IF(COUNTIF(INDEX(CNTR_IOSupplyChain,MATCH(D414,CNTR_IOProcAndPrec,0),),C442)=0,"",INDEX(CNTR_IOProcAndPrec,MATCH(C442,INDEX(CNTR_IOSupplyChain,MATCH(D414,CNTR_IOProcAndPrec,0),),0))))</f>
        <v/>
      </c>
      <c r="E442" s="1415"/>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14" t="str">
        <f>IF(D414="","",IF(COUNTIF(INDEX(CNTR_IOSupplyChain,MATCH(D414,CNTR_IOProcAndPrec,0),),C443)=0,"",INDEX(CNTR_IOProcAndPrec,MATCH(C443,INDEX(CNTR_IOSupplyChain,MATCH(D414,CNTR_IOProcAndPrec,0),),0))))</f>
        <v/>
      </c>
      <c r="E443" s="1415"/>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14" t="str">
        <f>IF(D414="","",IF(COUNTIF(INDEX(CNTR_IOSupplyChain,MATCH(D414,CNTR_IOProcAndPrec,0),),C444)=0,"",INDEX(CNTR_IOProcAndPrec,MATCH(C444,INDEX(CNTR_IOSupplyChain,MATCH(D414,CNTR_IOProcAndPrec,0),),0))))</f>
        <v/>
      </c>
      <c r="E444" s="1415"/>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14" t="str">
        <f>IF(D414="","",IF(COUNTIF(INDEX(CNTR_IOSupplyChain,MATCH(D414,CNTR_IOProcAndPrec,0),),C445)=0,"",INDEX(CNTR_IOProcAndPrec,MATCH(C445,INDEX(CNTR_IOSupplyChain,MATCH(D414,CNTR_IOProcAndPrec,0),),0))))</f>
        <v/>
      </c>
      <c r="E445" s="1415"/>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14" t="str">
        <f>IF(D414="","",IF(COUNTIF(INDEX(CNTR_IOSupplyChain,MATCH(D414,CNTR_IOProcAndPrec,0),),C446)=0,"",INDEX(CNTR_IOProcAndPrec,MATCH(C446,INDEX(CNTR_IOSupplyChain,MATCH(D414,CNTR_IOProcAndPrec,0),),0))))</f>
        <v/>
      </c>
      <c r="E446" s="1415"/>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48" t="str">
        <f>IF(D414="","",IF(COUNTIF(INDEX(CNTR_IOSupplyChain,MATCH(D414,CNTR_IOProcAndPrec,0),),C447)=0,"",INDEX(CNTR_IOProcAndPrec,MATCH(C447,INDEX(CNTR_IOSupplyChain,MATCH(D414,CNTR_IOProcAndPrec,0),),0))))</f>
        <v/>
      </c>
      <c r="E447" s="1449"/>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36">
        <f>C414+1</f>
        <v>9</v>
      </c>
      <c r="D450" s="1418" t="str">
        <f>IF(INDEX(CNTR_List_ExistProdProcNames,C450)=CONST_NA,"",INDEX(CNTR_List_ExistProdProcNames,C450))</f>
        <v/>
      </c>
      <c r="E450" s="1419"/>
      <c r="F450" s="1416" t="str">
        <f>Translations!$B$107</f>
        <v>Aggregated goods category</v>
      </c>
      <c r="G450" s="250" t="str">
        <f>Translations!$B$584</f>
        <v>Mass share</v>
      </c>
      <c r="H450" s="144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45" t="str">
        <f>Translations!$B$594</f>
        <v>Source of electricity EF</v>
      </c>
      <c r="P450" s="250" t="str">
        <f>Translations!$B$480</f>
        <v>Embedded electricity</v>
      </c>
      <c r="Q450" s="1412" t="str">
        <f>Translations!$B$1957</f>
        <v>Country code</v>
      </c>
      <c r="R450" s="1441" t="str">
        <f>Translations!$B$351</f>
        <v>CP due (per produced t or MWh)</v>
      </c>
      <c r="S450" s="1443"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37"/>
      <c r="D451" s="1420"/>
      <c r="E451" s="1421"/>
      <c r="F451" s="1417"/>
      <c r="G451" s="251" t="str">
        <f>IF($F452="",CONST_t,INDEX(CONST_LIST_GoodsUnit,MATCH($F452,CONST_LIST_Goods,0))) &amp;"/"&amp; IF($F452="",CONST_t,INDEX(CONST_LIST_GoodsUnit,MATCH($F452,CONST_LIST_Goods,0)))</f>
        <v>t/t</v>
      </c>
      <c r="H451" s="144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46"/>
      <c r="P451" s="251" t="str">
        <f>CONST_MWh &amp; "/" &amp; IF($F452="",CONST_t,INDEX(CONST_LIST_GoodsUnit,MATCH($F452,CONST_LIST_Goods,0)))</f>
        <v>MWh/t</v>
      </c>
      <c r="Q451" s="1413"/>
      <c r="R451" s="1442"/>
      <c r="S451" s="1444"/>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38"/>
      <c r="D452" s="1426" t="str">
        <f>Translations!$B$600</f>
        <v>Total production process</v>
      </c>
      <c r="E452" s="1427"/>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28" t="str">
        <f>D450</f>
        <v/>
      </c>
      <c r="E453" s="1429"/>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9" t="str">
        <f>IF(D450="","",IF(COUNTIF(INDEX(CNTR_IOSupplyChain,MATCH(D450,CNTR_IOProcAndPrec,0),),C454)=0,"",INDEX(CNTR_IOProcAndPrec,MATCH(C454,INDEX(CNTR_IOSupplyChain,MATCH(D450,CNTR_IOProcAndPrec,0),),0))))</f>
        <v/>
      </c>
      <c r="E454" s="1440"/>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14" t="str">
        <f>IF(D450="","",IF(COUNTIF(INDEX(CNTR_IOSupplyChain,MATCH(D450,CNTR_IOProcAndPrec,0),),C455)=0,"",INDEX(CNTR_IOProcAndPrec,MATCH(C455,INDEX(CNTR_IOSupplyChain,MATCH(D450,CNTR_IOProcAndPrec,0),),0))))</f>
        <v/>
      </c>
      <c r="E455" s="1415"/>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14" t="str">
        <f>IF(D450="","",IF(COUNTIF(INDEX(CNTR_IOSupplyChain,MATCH(D450,CNTR_IOProcAndPrec,0),),C456)=0,"",INDEX(CNTR_IOProcAndPrec,MATCH(C456,INDEX(CNTR_IOSupplyChain,MATCH(D450,CNTR_IOProcAndPrec,0),),0))))</f>
        <v/>
      </c>
      <c r="E456" s="1415"/>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14" t="str">
        <f>IF(D450="","",IF(COUNTIF(INDEX(CNTR_IOSupplyChain,MATCH(D450,CNTR_IOProcAndPrec,0),),C457)=0,"",INDEX(CNTR_IOProcAndPrec,MATCH(C457,INDEX(CNTR_IOSupplyChain,MATCH(D450,CNTR_IOProcAndPrec,0),),0))))</f>
        <v/>
      </c>
      <c r="E457" s="1415"/>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14" t="str">
        <f>IF(D450="","",IF(COUNTIF(INDEX(CNTR_IOSupplyChain,MATCH(D450,CNTR_IOProcAndPrec,0),),C458)=0,"",INDEX(CNTR_IOProcAndPrec,MATCH(C458,INDEX(CNTR_IOSupplyChain,MATCH(D450,CNTR_IOProcAndPrec,0),),0))))</f>
        <v/>
      </c>
      <c r="E458" s="1415"/>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14" t="str">
        <f>IF(D450="","",IF(COUNTIF(INDEX(CNTR_IOSupplyChain,MATCH(D450,CNTR_IOProcAndPrec,0),),C459)=0,"",INDEX(CNTR_IOProcAndPrec,MATCH(C459,INDEX(CNTR_IOSupplyChain,MATCH(D450,CNTR_IOProcAndPrec,0),),0))))</f>
        <v/>
      </c>
      <c r="E459" s="1415"/>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14" t="str">
        <f>IF(D450="","",IF(COUNTIF(INDEX(CNTR_IOSupplyChain,MATCH(D450,CNTR_IOProcAndPrec,0),),C460)=0,"",INDEX(CNTR_IOProcAndPrec,MATCH(C460,INDEX(CNTR_IOSupplyChain,MATCH(D450,CNTR_IOProcAndPrec,0),),0))))</f>
        <v/>
      </c>
      <c r="E460" s="1415"/>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14" t="str">
        <f>IF(D450="","",IF(COUNTIF(INDEX(CNTR_IOSupplyChain,MATCH(D450,CNTR_IOProcAndPrec,0),),C461)=0,"",INDEX(CNTR_IOProcAndPrec,MATCH(C461,INDEX(CNTR_IOSupplyChain,MATCH(D450,CNTR_IOProcAndPrec,0),),0))))</f>
        <v/>
      </c>
      <c r="E461" s="1415"/>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14" t="str">
        <f>IF(D450="","",IF(COUNTIF(INDEX(CNTR_IOSupplyChain,MATCH(D450,CNTR_IOProcAndPrec,0),),C462)=0,"",INDEX(CNTR_IOProcAndPrec,MATCH(C462,INDEX(CNTR_IOSupplyChain,MATCH(D450,CNTR_IOProcAndPrec,0),),0))))</f>
        <v/>
      </c>
      <c r="E462" s="1415"/>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14" t="str">
        <f>IF(D450="","",IF(COUNTIF(INDEX(CNTR_IOSupplyChain,MATCH(D450,CNTR_IOProcAndPrec,0),),C463)=0,"",INDEX(CNTR_IOProcAndPrec,MATCH(C463,INDEX(CNTR_IOSupplyChain,MATCH(D450,CNTR_IOProcAndPrec,0),),0))))</f>
        <v/>
      </c>
      <c r="E463" s="1415"/>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14" t="str">
        <f>IF(D450="","",IF(COUNTIF(INDEX(CNTR_IOSupplyChain,MATCH(D450,CNTR_IOProcAndPrec,0),),C464)=0,"",INDEX(CNTR_IOProcAndPrec,MATCH(C464,INDEX(CNTR_IOSupplyChain,MATCH(D450,CNTR_IOProcAndPrec,0),),0))))</f>
        <v/>
      </c>
      <c r="E464" s="1415"/>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14" t="str">
        <f>IF(D450="","",IF(COUNTIF(INDEX(CNTR_IOSupplyChain,MATCH(D450,CNTR_IOProcAndPrec,0),),C465)=0,"",INDEX(CNTR_IOProcAndPrec,MATCH(C465,INDEX(CNTR_IOSupplyChain,MATCH(D450,CNTR_IOProcAndPrec,0),),0))))</f>
        <v/>
      </c>
      <c r="E465" s="1415"/>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14" t="str">
        <f>IF(D450="","",IF(COUNTIF(INDEX(CNTR_IOSupplyChain,MATCH(D450,CNTR_IOProcAndPrec,0),),C466)=0,"",INDEX(CNTR_IOProcAndPrec,MATCH(C466,INDEX(CNTR_IOSupplyChain,MATCH(D450,CNTR_IOProcAndPrec,0),),0))))</f>
        <v/>
      </c>
      <c r="E466" s="1415"/>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14" t="str">
        <f>IF(D450="","",IF(COUNTIF(INDEX(CNTR_IOSupplyChain,MATCH(D450,CNTR_IOProcAndPrec,0),),C467)=0,"",INDEX(CNTR_IOProcAndPrec,MATCH(C467,INDEX(CNTR_IOSupplyChain,MATCH(D450,CNTR_IOProcAndPrec,0),),0))))</f>
        <v/>
      </c>
      <c r="E467" s="1415"/>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14" t="str">
        <f>IF(D450="","",IF(COUNTIF(INDEX(CNTR_IOSupplyChain,MATCH(D450,CNTR_IOProcAndPrec,0),),C468)=0,"",INDEX(CNTR_IOProcAndPrec,MATCH(C468,INDEX(CNTR_IOSupplyChain,MATCH(D450,CNTR_IOProcAndPrec,0),),0))))</f>
        <v/>
      </c>
      <c r="E468" s="1415"/>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14" t="str">
        <f>IF(D450="","",IF(COUNTIF(INDEX(CNTR_IOSupplyChain,MATCH(D450,CNTR_IOProcAndPrec,0),),C469)=0,"",INDEX(CNTR_IOProcAndPrec,MATCH(C469,INDEX(CNTR_IOSupplyChain,MATCH(D450,CNTR_IOProcAndPrec,0),),0))))</f>
        <v/>
      </c>
      <c r="E469" s="1415"/>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14" t="str">
        <f>IF(D450="","",IF(COUNTIF(INDEX(CNTR_IOSupplyChain,MATCH(D450,CNTR_IOProcAndPrec,0),),C470)=0,"",INDEX(CNTR_IOProcAndPrec,MATCH(C470,INDEX(CNTR_IOSupplyChain,MATCH(D450,CNTR_IOProcAndPrec,0),),0))))</f>
        <v/>
      </c>
      <c r="E470" s="1415"/>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14" t="str">
        <f>IF(D450="","",IF(COUNTIF(INDEX(CNTR_IOSupplyChain,MATCH(D450,CNTR_IOProcAndPrec,0),),C471)=0,"",INDEX(CNTR_IOProcAndPrec,MATCH(C471,INDEX(CNTR_IOSupplyChain,MATCH(D450,CNTR_IOProcAndPrec,0),),0))))</f>
        <v/>
      </c>
      <c r="E471" s="1415"/>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14" t="str">
        <f>IF(D450="","",IF(COUNTIF(INDEX(CNTR_IOSupplyChain,MATCH(D450,CNTR_IOProcAndPrec,0),),C472)=0,"",INDEX(CNTR_IOProcAndPrec,MATCH(C472,INDEX(CNTR_IOSupplyChain,MATCH(D450,CNTR_IOProcAndPrec,0),),0))))</f>
        <v/>
      </c>
      <c r="E472" s="1415"/>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14" t="str">
        <f>IF(D450="","",IF(COUNTIF(INDEX(CNTR_IOSupplyChain,MATCH(D450,CNTR_IOProcAndPrec,0),),C473)=0,"",INDEX(CNTR_IOProcAndPrec,MATCH(C473,INDEX(CNTR_IOSupplyChain,MATCH(D450,CNTR_IOProcAndPrec,0),),0))))</f>
        <v/>
      </c>
      <c r="E473" s="1415"/>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14" t="str">
        <f>IF(D450="","",IF(COUNTIF(INDEX(CNTR_IOSupplyChain,MATCH(D450,CNTR_IOProcAndPrec,0),),C474)=0,"",INDEX(CNTR_IOProcAndPrec,MATCH(C474,INDEX(CNTR_IOSupplyChain,MATCH(D450,CNTR_IOProcAndPrec,0),),0))))</f>
        <v/>
      </c>
      <c r="E474" s="1415"/>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14" t="str">
        <f>IF(D450="","",IF(COUNTIF(INDEX(CNTR_IOSupplyChain,MATCH(D450,CNTR_IOProcAndPrec,0),),C475)=0,"",INDEX(CNTR_IOProcAndPrec,MATCH(C475,INDEX(CNTR_IOSupplyChain,MATCH(D450,CNTR_IOProcAndPrec,0),),0))))</f>
        <v/>
      </c>
      <c r="E475" s="1415"/>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14" t="str">
        <f>IF(D450="","",IF(COUNTIF(INDEX(CNTR_IOSupplyChain,MATCH(D450,CNTR_IOProcAndPrec,0),),C476)=0,"",INDEX(CNTR_IOProcAndPrec,MATCH(C476,INDEX(CNTR_IOSupplyChain,MATCH(D450,CNTR_IOProcAndPrec,0),),0))))</f>
        <v/>
      </c>
      <c r="E476" s="1415"/>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14" t="str">
        <f>IF(D450="","",IF(COUNTIF(INDEX(CNTR_IOSupplyChain,MATCH(D450,CNTR_IOProcAndPrec,0),),C477)=0,"",INDEX(CNTR_IOProcAndPrec,MATCH(C477,INDEX(CNTR_IOSupplyChain,MATCH(D450,CNTR_IOProcAndPrec,0),),0))))</f>
        <v/>
      </c>
      <c r="E477" s="1415"/>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14" t="str">
        <f>IF(D450="","",IF(COUNTIF(INDEX(CNTR_IOSupplyChain,MATCH(D450,CNTR_IOProcAndPrec,0),),C478)=0,"",INDEX(CNTR_IOProcAndPrec,MATCH(C478,INDEX(CNTR_IOSupplyChain,MATCH(D450,CNTR_IOProcAndPrec,0),),0))))</f>
        <v/>
      </c>
      <c r="E478" s="1415"/>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14" t="str">
        <f>IF(D450="","",IF(COUNTIF(INDEX(CNTR_IOSupplyChain,MATCH(D450,CNTR_IOProcAndPrec,0),),C479)=0,"",INDEX(CNTR_IOProcAndPrec,MATCH(C479,INDEX(CNTR_IOSupplyChain,MATCH(D450,CNTR_IOProcAndPrec,0),),0))))</f>
        <v/>
      </c>
      <c r="E479" s="1415"/>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14" t="str">
        <f>IF(D450="","",IF(COUNTIF(INDEX(CNTR_IOSupplyChain,MATCH(D450,CNTR_IOProcAndPrec,0),),C480)=0,"",INDEX(CNTR_IOProcAndPrec,MATCH(C480,INDEX(CNTR_IOSupplyChain,MATCH(D450,CNTR_IOProcAndPrec,0),),0))))</f>
        <v/>
      </c>
      <c r="E480" s="1415"/>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14" t="str">
        <f>IF(D450="","",IF(COUNTIF(INDEX(CNTR_IOSupplyChain,MATCH(D450,CNTR_IOProcAndPrec,0),),C481)=0,"",INDEX(CNTR_IOProcAndPrec,MATCH(C481,INDEX(CNTR_IOSupplyChain,MATCH(D450,CNTR_IOProcAndPrec,0),),0))))</f>
        <v/>
      </c>
      <c r="E481" s="1415"/>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14" t="str">
        <f>IF(D450="","",IF(COUNTIF(INDEX(CNTR_IOSupplyChain,MATCH(D450,CNTR_IOProcAndPrec,0),),C482)=0,"",INDEX(CNTR_IOProcAndPrec,MATCH(C482,INDEX(CNTR_IOSupplyChain,MATCH(D450,CNTR_IOProcAndPrec,0),),0))))</f>
        <v/>
      </c>
      <c r="E482" s="1415"/>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48" t="str">
        <f>IF(D450="","",IF(COUNTIF(INDEX(CNTR_IOSupplyChain,MATCH(D450,CNTR_IOProcAndPrec,0),),C483)=0,"",INDEX(CNTR_IOProcAndPrec,MATCH(C483,INDEX(CNTR_IOSupplyChain,MATCH(D450,CNTR_IOProcAndPrec,0),),0))))</f>
        <v/>
      </c>
      <c r="E483" s="1449"/>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36">
        <f>C450+1</f>
        <v>10</v>
      </c>
      <c r="D486" s="1418" t="str">
        <f>IF(INDEX(CNTR_List_ExistProdProcNames,C486)=CONST_NA,"",INDEX(CNTR_List_ExistProdProcNames,C486))</f>
        <v/>
      </c>
      <c r="E486" s="1419"/>
      <c r="F486" s="1416" t="str">
        <f>Translations!$B$107</f>
        <v>Aggregated goods category</v>
      </c>
      <c r="G486" s="250" t="str">
        <f>Translations!$B$584</f>
        <v>Mass share</v>
      </c>
      <c r="H486" s="144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45" t="str">
        <f>Translations!$B$594</f>
        <v>Source of electricity EF</v>
      </c>
      <c r="P486" s="250" t="str">
        <f>Translations!$B$480</f>
        <v>Embedded electricity</v>
      </c>
      <c r="Q486" s="1412" t="str">
        <f>Translations!$B$1957</f>
        <v>Country code</v>
      </c>
      <c r="R486" s="1441" t="str">
        <f>Translations!$B$351</f>
        <v>CP due (per produced t or MWh)</v>
      </c>
      <c r="S486" s="1443"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37"/>
      <c r="D487" s="1420"/>
      <c r="E487" s="1421"/>
      <c r="F487" s="1417"/>
      <c r="G487" s="251" t="str">
        <f>IF($F488="",CONST_t,INDEX(CONST_LIST_GoodsUnit,MATCH($F488,CONST_LIST_Goods,0))) &amp;"/"&amp; IF($F488="",CONST_t,INDEX(CONST_LIST_GoodsUnit,MATCH($F488,CONST_LIST_Goods,0)))</f>
        <v>t/t</v>
      </c>
      <c r="H487" s="144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46"/>
      <c r="P487" s="251" t="str">
        <f>CONST_MWh &amp; "/" &amp; IF($F488="",CONST_t,INDEX(CONST_LIST_GoodsUnit,MATCH($F488,CONST_LIST_Goods,0)))</f>
        <v>MWh/t</v>
      </c>
      <c r="Q487" s="1413"/>
      <c r="R487" s="1442"/>
      <c r="S487" s="1444"/>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38"/>
      <c r="D488" s="1426" t="str">
        <f>Translations!$B$600</f>
        <v>Total production process</v>
      </c>
      <c r="E488" s="1427"/>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28" t="str">
        <f>D486</f>
        <v/>
      </c>
      <c r="E489" s="1429"/>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9" t="str">
        <f>IF(D486="","",IF(COUNTIF(INDEX(CNTR_IOSupplyChain,MATCH(D486,CNTR_IOProcAndPrec,0),),C490)=0,"",INDEX(CNTR_IOProcAndPrec,MATCH(C490,INDEX(CNTR_IOSupplyChain,MATCH(D486,CNTR_IOProcAndPrec,0),),0))))</f>
        <v/>
      </c>
      <c r="E490" s="1440"/>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14" t="str">
        <f>IF(D486="","",IF(COUNTIF(INDEX(CNTR_IOSupplyChain,MATCH(D486,CNTR_IOProcAndPrec,0),),C491)=0,"",INDEX(CNTR_IOProcAndPrec,MATCH(C491,INDEX(CNTR_IOSupplyChain,MATCH(D486,CNTR_IOProcAndPrec,0),),0))))</f>
        <v/>
      </c>
      <c r="E491" s="1415"/>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14" t="str">
        <f>IF(D486="","",IF(COUNTIF(INDEX(CNTR_IOSupplyChain,MATCH(D486,CNTR_IOProcAndPrec,0),),C492)=0,"",INDEX(CNTR_IOProcAndPrec,MATCH(C492,INDEX(CNTR_IOSupplyChain,MATCH(D486,CNTR_IOProcAndPrec,0),),0))))</f>
        <v/>
      </c>
      <c r="E492" s="1415"/>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14" t="str">
        <f>IF(D486="","",IF(COUNTIF(INDEX(CNTR_IOSupplyChain,MATCH(D486,CNTR_IOProcAndPrec,0),),C493)=0,"",INDEX(CNTR_IOProcAndPrec,MATCH(C493,INDEX(CNTR_IOSupplyChain,MATCH(D486,CNTR_IOProcAndPrec,0),),0))))</f>
        <v/>
      </c>
      <c r="E493" s="1415"/>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14" t="str">
        <f>IF(D486="","",IF(COUNTIF(INDEX(CNTR_IOSupplyChain,MATCH(D486,CNTR_IOProcAndPrec,0),),C494)=0,"",INDEX(CNTR_IOProcAndPrec,MATCH(C494,INDEX(CNTR_IOSupplyChain,MATCH(D486,CNTR_IOProcAndPrec,0),),0))))</f>
        <v/>
      </c>
      <c r="E494" s="1415"/>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14" t="str">
        <f>IF(D486="","",IF(COUNTIF(INDEX(CNTR_IOSupplyChain,MATCH(D486,CNTR_IOProcAndPrec,0),),C495)=0,"",INDEX(CNTR_IOProcAndPrec,MATCH(C495,INDEX(CNTR_IOSupplyChain,MATCH(D486,CNTR_IOProcAndPrec,0),),0))))</f>
        <v/>
      </c>
      <c r="E495" s="1415"/>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14" t="str">
        <f>IF(D486="","",IF(COUNTIF(INDEX(CNTR_IOSupplyChain,MATCH(D486,CNTR_IOProcAndPrec,0),),C496)=0,"",INDEX(CNTR_IOProcAndPrec,MATCH(C496,INDEX(CNTR_IOSupplyChain,MATCH(D486,CNTR_IOProcAndPrec,0),),0))))</f>
        <v/>
      </c>
      <c r="E496" s="1415"/>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14" t="str">
        <f>IF(D486="","",IF(COUNTIF(INDEX(CNTR_IOSupplyChain,MATCH(D486,CNTR_IOProcAndPrec,0),),C497)=0,"",INDEX(CNTR_IOProcAndPrec,MATCH(C497,INDEX(CNTR_IOSupplyChain,MATCH(D486,CNTR_IOProcAndPrec,0),),0))))</f>
        <v/>
      </c>
      <c r="E497" s="1415"/>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14" t="str">
        <f>IF(D486="","",IF(COUNTIF(INDEX(CNTR_IOSupplyChain,MATCH(D486,CNTR_IOProcAndPrec,0),),C498)=0,"",INDEX(CNTR_IOProcAndPrec,MATCH(C498,INDEX(CNTR_IOSupplyChain,MATCH(D486,CNTR_IOProcAndPrec,0),),0))))</f>
        <v/>
      </c>
      <c r="E498" s="1415"/>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14" t="str">
        <f>IF(D486="","",IF(COUNTIF(INDEX(CNTR_IOSupplyChain,MATCH(D486,CNTR_IOProcAndPrec,0),),C499)=0,"",INDEX(CNTR_IOProcAndPrec,MATCH(C499,INDEX(CNTR_IOSupplyChain,MATCH(D486,CNTR_IOProcAndPrec,0),),0))))</f>
        <v/>
      </c>
      <c r="E499" s="1415"/>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14" t="str">
        <f>IF(D486="","",IF(COUNTIF(INDEX(CNTR_IOSupplyChain,MATCH(D486,CNTR_IOProcAndPrec,0),),C500)=0,"",INDEX(CNTR_IOProcAndPrec,MATCH(C500,INDEX(CNTR_IOSupplyChain,MATCH(D486,CNTR_IOProcAndPrec,0),),0))))</f>
        <v/>
      </c>
      <c r="E500" s="1415"/>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14" t="str">
        <f>IF(D486="","",IF(COUNTIF(INDEX(CNTR_IOSupplyChain,MATCH(D486,CNTR_IOProcAndPrec,0),),C501)=0,"",INDEX(CNTR_IOProcAndPrec,MATCH(C501,INDEX(CNTR_IOSupplyChain,MATCH(D486,CNTR_IOProcAndPrec,0),),0))))</f>
        <v/>
      </c>
      <c r="E501" s="1415"/>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14" t="str">
        <f>IF(D486="","",IF(COUNTIF(INDEX(CNTR_IOSupplyChain,MATCH(D486,CNTR_IOProcAndPrec,0),),C502)=0,"",INDEX(CNTR_IOProcAndPrec,MATCH(C502,INDEX(CNTR_IOSupplyChain,MATCH(D486,CNTR_IOProcAndPrec,0),),0))))</f>
        <v/>
      </c>
      <c r="E502" s="1415"/>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14" t="str">
        <f>IF(D486="","",IF(COUNTIF(INDEX(CNTR_IOSupplyChain,MATCH(D486,CNTR_IOProcAndPrec,0),),C503)=0,"",INDEX(CNTR_IOProcAndPrec,MATCH(C503,INDEX(CNTR_IOSupplyChain,MATCH(D486,CNTR_IOProcAndPrec,0),),0))))</f>
        <v/>
      </c>
      <c r="E503" s="1415"/>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14" t="str">
        <f>IF(D486="","",IF(COUNTIF(INDEX(CNTR_IOSupplyChain,MATCH(D486,CNTR_IOProcAndPrec,0),),C504)=0,"",INDEX(CNTR_IOProcAndPrec,MATCH(C504,INDEX(CNTR_IOSupplyChain,MATCH(D486,CNTR_IOProcAndPrec,0),),0))))</f>
        <v/>
      </c>
      <c r="E504" s="1415"/>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14" t="str">
        <f>IF(D486="","",IF(COUNTIF(INDEX(CNTR_IOSupplyChain,MATCH(D486,CNTR_IOProcAndPrec,0),),C505)=0,"",INDEX(CNTR_IOProcAndPrec,MATCH(C505,INDEX(CNTR_IOSupplyChain,MATCH(D486,CNTR_IOProcAndPrec,0),),0))))</f>
        <v/>
      </c>
      <c r="E505" s="1415"/>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14" t="str">
        <f>IF(D486="","",IF(COUNTIF(INDEX(CNTR_IOSupplyChain,MATCH(D486,CNTR_IOProcAndPrec,0),),C506)=0,"",INDEX(CNTR_IOProcAndPrec,MATCH(C506,INDEX(CNTR_IOSupplyChain,MATCH(D486,CNTR_IOProcAndPrec,0),),0))))</f>
        <v/>
      </c>
      <c r="E506" s="1415"/>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14" t="str">
        <f>IF(D486="","",IF(COUNTIF(INDEX(CNTR_IOSupplyChain,MATCH(D486,CNTR_IOProcAndPrec,0),),C507)=0,"",INDEX(CNTR_IOProcAndPrec,MATCH(C507,INDEX(CNTR_IOSupplyChain,MATCH(D486,CNTR_IOProcAndPrec,0),),0))))</f>
        <v/>
      </c>
      <c r="E507" s="1415"/>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14" t="str">
        <f>IF(D486="","",IF(COUNTIF(INDEX(CNTR_IOSupplyChain,MATCH(D486,CNTR_IOProcAndPrec,0),),C508)=0,"",INDEX(CNTR_IOProcAndPrec,MATCH(C508,INDEX(CNTR_IOSupplyChain,MATCH(D486,CNTR_IOProcAndPrec,0),),0))))</f>
        <v/>
      </c>
      <c r="E508" s="1415"/>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14" t="str">
        <f>IF(D486="","",IF(COUNTIF(INDEX(CNTR_IOSupplyChain,MATCH(D486,CNTR_IOProcAndPrec,0),),C509)=0,"",INDEX(CNTR_IOProcAndPrec,MATCH(C509,INDEX(CNTR_IOSupplyChain,MATCH(D486,CNTR_IOProcAndPrec,0),),0))))</f>
        <v/>
      </c>
      <c r="E509" s="1415"/>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14" t="str">
        <f>IF(D486="","",IF(COUNTIF(INDEX(CNTR_IOSupplyChain,MATCH(D486,CNTR_IOProcAndPrec,0),),C510)=0,"",INDEX(CNTR_IOProcAndPrec,MATCH(C510,INDEX(CNTR_IOSupplyChain,MATCH(D486,CNTR_IOProcAndPrec,0),),0))))</f>
        <v/>
      </c>
      <c r="E510" s="1415"/>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14" t="str">
        <f>IF(D486="","",IF(COUNTIF(INDEX(CNTR_IOSupplyChain,MATCH(D486,CNTR_IOProcAndPrec,0),),C511)=0,"",INDEX(CNTR_IOProcAndPrec,MATCH(C511,INDEX(CNTR_IOSupplyChain,MATCH(D486,CNTR_IOProcAndPrec,0),),0))))</f>
        <v/>
      </c>
      <c r="E511" s="1415"/>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14" t="str">
        <f>IF(D486="","",IF(COUNTIF(INDEX(CNTR_IOSupplyChain,MATCH(D486,CNTR_IOProcAndPrec,0),),C512)=0,"",INDEX(CNTR_IOProcAndPrec,MATCH(C512,INDEX(CNTR_IOSupplyChain,MATCH(D486,CNTR_IOProcAndPrec,0),),0))))</f>
        <v/>
      </c>
      <c r="E512" s="1415"/>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14" t="str">
        <f>IF(D486="","",IF(COUNTIF(INDEX(CNTR_IOSupplyChain,MATCH(D486,CNTR_IOProcAndPrec,0),),C513)=0,"",INDEX(CNTR_IOProcAndPrec,MATCH(C513,INDEX(CNTR_IOSupplyChain,MATCH(D486,CNTR_IOProcAndPrec,0),),0))))</f>
        <v/>
      </c>
      <c r="E513" s="1415"/>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14" t="str">
        <f>IF(D486="","",IF(COUNTIF(INDEX(CNTR_IOSupplyChain,MATCH(D486,CNTR_IOProcAndPrec,0),),C514)=0,"",INDEX(CNTR_IOProcAndPrec,MATCH(C514,INDEX(CNTR_IOSupplyChain,MATCH(D486,CNTR_IOProcAndPrec,0),),0))))</f>
        <v/>
      </c>
      <c r="E514" s="1415"/>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14" t="str">
        <f>IF(D486="","",IF(COUNTIF(INDEX(CNTR_IOSupplyChain,MATCH(D486,CNTR_IOProcAndPrec,0),),C515)=0,"",INDEX(CNTR_IOProcAndPrec,MATCH(C515,INDEX(CNTR_IOSupplyChain,MATCH(D486,CNTR_IOProcAndPrec,0),),0))))</f>
        <v/>
      </c>
      <c r="E515" s="1415"/>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14" t="str">
        <f>IF(D486="","",IF(COUNTIF(INDEX(CNTR_IOSupplyChain,MATCH(D486,CNTR_IOProcAndPrec,0),),C516)=0,"",INDEX(CNTR_IOProcAndPrec,MATCH(C516,INDEX(CNTR_IOSupplyChain,MATCH(D486,CNTR_IOProcAndPrec,0),),0))))</f>
        <v/>
      </c>
      <c r="E516" s="1415"/>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14" t="str">
        <f>IF(D486="","",IF(COUNTIF(INDEX(CNTR_IOSupplyChain,MATCH(D486,CNTR_IOProcAndPrec,0),),C517)=0,"",INDEX(CNTR_IOProcAndPrec,MATCH(C517,INDEX(CNTR_IOSupplyChain,MATCH(D486,CNTR_IOProcAndPrec,0),),0))))</f>
        <v/>
      </c>
      <c r="E517" s="1415"/>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14" t="str">
        <f>IF(D486="","",IF(COUNTIF(INDEX(CNTR_IOSupplyChain,MATCH(D486,CNTR_IOProcAndPrec,0),),C518)=0,"",INDEX(CNTR_IOProcAndPrec,MATCH(C518,INDEX(CNTR_IOSupplyChain,MATCH(D486,CNTR_IOProcAndPrec,0),),0))))</f>
        <v/>
      </c>
      <c r="E518" s="1415"/>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48" t="str">
        <f>IF(D486="","",IF(COUNTIF(INDEX(CNTR_IOSupplyChain,MATCH(D486,CNTR_IOProcAndPrec,0),),C519)=0,"",INDEX(CNTR_IOProcAndPrec,MATCH(C519,INDEX(CNTR_IOSupplyChain,MATCH(D486,CNTR_IOProcAndPrec,0),),0))))</f>
        <v/>
      </c>
      <c r="E519" s="1449"/>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C450:C452"/>
    <mergeCell ref="D450:E451"/>
    <mergeCell ref="F450:F451"/>
    <mergeCell ref="H450:H451"/>
    <mergeCell ref="D424:E424"/>
    <mergeCell ref="D425:E425"/>
    <mergeCell ref="D426:E426"/>
    <mergeCell ref="D427:E427"/>
    <mergeCell ref="D428:E428"/>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O198:O199"/>
    <mergeCell ref="R198:R199"/>
    <mergeCell ref="S198:S199"/>
    <mergeCell ref="D200:E200"/>
    <mergeCell ref="D203:E203"/>
    <mergeCell ref="D204:E204"/>
    <mergeCell ref="D205:E205"/>
    <mergeCell ref="D201:E201"/>
    <mergeCell ref="D202:E202"/>
    <mergeCell ref="Q198:Q199"/>
    <mergeCell ref="F198:F199"/>
    <mergeCell ref="H198:H199"/>
    <mergeCell ref="R486:R487"/>
    <mergeCell ref="S486:S487"/>
    <mergeCell ref="R306:R307"/>
    <mergeCell ref="S306:S307"/>
    <mergeCell ref="R342:R343"/>
    <mergeCell ref="S342:S343"/>
    <mergeCell ref="R378:R379"/>
    <mergeCell ref="S378:S379"/>
    <mergeCell ref="R414:R415"/>
    <mergeCell ref="S414:S415"/>
    <mergeCell ref="R450:R451"/>
    <mergeCell ref="S450:S451"/>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D497:E497"/>
    <mergeCell ref="D498:E498"/>
    <mergeCell ref="D499:E499"/>
    <mergeCell ref="D500:E500"/>
    <mergeCell ref="D491:E491"/>
    <mergeCell ref="D492:E492"/>
    <mergeCell ref="D493:E493"/>
    <mergeCell ref="D494:E494"/>
    <mergeCell ref="D495:E495"/>
    <mergeCell ref="O486:O487"/>
    <mergeCell ref="Q486:Q487"/>
    <mergeCell ref="D488:E488"/>
    <mergeCell ref="D489:E489"/>
    <mergeCell ref="D490:E490"/>
    <mergeCell ref="D483:E483"/>
    <mergeCell ref="C486:C488"/>
    <mergeCell ref="D486:E487"/>
    <mergeCell ref="F486:F487"/>
    <mergeCell ref="H486:H487"/>
    <mergeCell ref="D478:E478"/>
    <mergeCell ref="D479:E479"/>
    <mergeCell ref="D480:E480"/>
    <mergeCell ref="D481:E481"/>
    <mergeCell ref="D482:E482"/>
    <mergeCell ref="D473:E473"/>
    <mergeCell ref="D474:E474"/>
    <mergeCell ref="D475:E475"/>
    <mergeCell ref="D476:E476"/>
    <mergeCell ref="D477:E477"/>
    <mergeCell ref="D468:E468"/>
    <mergeCell ref="D469:E469"/>
    <mergeCell ref="D470:E470"/>
    <mergeCell ref="D471:E471"/>
    <mergeCell ref="D472:E472"/>
    <mergeCell ref="D463:E463"/>
    <mergeCell ref="D464:E464"/>
    <mergeCell ref="D465:E465"/>
    <mergeCell ref="D466:E466"/>
    <mergeCell ref="D467:E467"/>
    <mergeCell ref="D458:E458"/>
    <mergeCell ref="D459:E459"/>
    <mergeCell ref="D460:E460"/>
    <mergeCell ref="D461:E461"/>
    <mergeCell ref="D462:E462"/>
    <mergeCell ref="D453:E453"/>
    <mergeCell ref="D454:E454"/>
    <mergeCell ref="D455:E455"/>
    <mergeCell ref="D456:E456"/>
    <mergeCell ref="D457:E457"/>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D404:E404"/>
    <mergeCell ref="D405:E405"/>
    <mergeCell ref="D396:E396"/>
    <mergeCell ref="D397:E397"/>
    <mergeCell ref="D398:E398"/>
    <mergeCell ref="D399:E399"/>
    <mergeCell ref="D400:E400"/>
    <mergeCell ref="D391:E391"/>
    <mergeCell ref="D392:E392"/>
    <mergeCell ref="D393:E393"/>
    <mergeCell ref="D394:E394"/>
    <mergeCell ref="D395:E395"/>
    <mergeCell ref="D386:E386"/>
    <mergeCell ref="D387:E387"/>
    <mergeCell ref="D388:E388"/>
    <mergeCell ref="D389:E389"/>
    <mergeCell ref="D390:E390"/>
    <mergeCell ref="D381:E381"/>
    <mergeCell ref="D382:E382"/>
    <mergeCell ref="D383:E383"/>
    <mergeCell ref="D384:E384"/>
    <mergeCell ref="D385:E385"/>
    <mergeCell ref="D347:E347"/>
    <mergeCell ref="D348:E348"/>
    <mergeCell ref="D349:E349"/>
    <mergeCell ref="D350:E350"/>
    <mergeCell ref="D351:E351"/>
    <mergeCell ref="O342:O343"/>
    <mergeCell ref="Q342:Q343"/>
    <mergeCell ref="D344:E344"/>
    <mergeCell ref="D345:E345"/>
    <mergeCell ref="D346:E346"/>
    <mergeCell ref="D339:E339"/>
    <mergeCell ref="C342:C344"/>
    <mergeCell ref="D342:E343"/>
    <mergeCell ref="F342:F343"/>
    <mergeCell ref="H342:H343"/>
    <mergeCell ref="D334:E334"/>
    <mergeCell ref="D335:E335"/>
    <mergeCell ref="D336:E336"/>
    <mergeCell ref="D337:E337"/>
    <mergeCell ref="D338:E338"/>
    <mergeCell ref="D329:E329"/>
    <mergeCell ref="D330:E330"/>
    <mergeCell ref="D331:E331"/>
    <mergeCell ref="D332:E332"/>
    <mergeCell ref="D333:E333"/>
    <mergeCell ref="D324:E324"/>
    <mergeCell ref="D325:E325"/>
    <mergeCell ref="D326:E326"/>
    <mergeCell ref="D327:E327"/>
    <mergeCell ref="D328:E328"/>
    <mergeCell ref="D319:E319"/>
    <mergeCell ref="D320:E320"/>
    <mergeCell ref="D321:E321"/>
    <mergeCell ref="D322:E322"/>
    <mergeCell ref="D323:E323"/>
    <mergeCell ref="D314:E314"/>
    <mergeCell ref="D315:E315"/>
    <mergeCell ref="D316:E316"/>
    <mergeCell ref="D317:E317"/>
    <mergeCell ref="D318:E318"/>
    <mergeCell ref="D309:E309"/>
    <mergeCell ref="D310:E310"/>
    <mergeCell ref="D311:E311"/>
    <mergeCell ref="D312:E312"/>
    <mergeCell ref="D313:E313"/>
    <mergeCell ref="F306:F307"/>
    <mergeCell ref="H306:H307"/>
    <mergeCell ref="O306:O307"/>
    <mergeCell ref="Q306:Q307"/>
    <mergeCell ref="D308:E308"/>
    <mergeCell ref="D302:E302"/>
    <mergeCell ref="D303:E303"/>
    <mergeCell ref="C306:C308"/>
    <mergeCell ref="D306:E307"/>
    <mergeCell ref="D296:E296"/>
    <mergeCell ref="D297:E297"/>
    <mergeCell ref="D298:E298"/>
    <mergeCell ref="D299:E299"/>
    <mergeCell ref="D300:E300"/>
    <mergeCell ref="D293:E293"/>
    <mergeCell ref="D294:E294"/>
    <mergeCell ref="D295:E295"/>
    <mergeCell ref="D286:E286"/>
    <mergeCell ref="D287:E287"/>
    <mergeCell ref="D288:E288"/>
    <mergeCell ref="D289:E289"/>
    <mergeCell ref="D290:E290"/>
    <mergeCell ref="D301:E301"/>
    <mergeCell ref="D284:E284"/>
    <mergeCell ref="D285:E285"/>
    <mergeCell ref="D276:E276"/>
    <mergeCell ref="D277:E277"/>
    <mergeCell ref="D278:E278"/>
    <mergeCell ref="D279:E279"/>
    <mergeCell ref="D280:E280"/>
    <mergeCell ref="D291:E291"/>
    <mergeCell ref="D292:E292"/>
    <mergeCell ref="D275:E275"/>
    <mergeCell ref="C270:C272"/>
    <mergeCell ref="D270:E271"/>
    <mergeCell ref="F270:F271"/>
    <mergeCell ref="H270:H271"/>
    <mergeCell ref="O270:O271"/>
    <mergeCell ref="D281:E281"/>
    <mergeCell ref="D282:E282"/>
    <mergeCell ref="D283:E283"/>
    <mergeCell ref="Q270:Q271"/>
    <mergeCell ref="D272:E272"/>
    <mergeCell ref="D273:E273"/>
    <mergeCell ref="D274:E274"/>
    <mergeCell ref="D264:E264"/>
    <mergeCell ref="D265:E265"/>
    <mergeCell ref="D266:E266"/>
    <mergeCell ref="D267:E267"/>
    <mergeCell ref="D261:E261"/>
    <mergeCell ref="D262:E262"/>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L4:M4"/>
    <mergeCell ref="L3:M3"/>
    <mergeCell ref="J2:K2"/>
    <mergeCell ref="G12:I12"/>
    <mergeCell ref="G14:I14"/>
    <mergeCell ref="J4:K4"/>
    <mergeCell ref="F3:G3"/>
    <mergeCell ref="H3:I3"/>
    <mergeCell ref="J3:K3"/>
    <mergeCell ref="G13:I13"/>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F93:N93"/>
    <mergeCell ref="F142:S142"/>
    <mergeCell ref="F143:S143"/>
    <mergeCell ref="F144:S144"/>
    <mergeCell ref="F145:S145"/>
    <mergeCell ref="F100:F101"/>
    <mergeCell ref="F156:S156"/>
    <mergeCell ref="F157:S157"/>
    <mergeCell ref="F160:S160"/>
    <mergeCell ref="F158:S158"/>
    <mergeCell ref="F159:S159"/>
    <mergeCell ref="F141:S141"/>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75" t="str">
        <f>Translations!$B$465</f>
        <v>Summary of products</v>
      </c>
      <c r="C2" s="1176"/>
      <c r="D2" s="1177"/>
      <c r="E2" s="1184" t="str">
        <f>Translations!$B$11</f>
        <v>Navigation Area:</v>
      </c>
      <c r="F2" s="1185"/>
      <c r="G2" s="893" t="str">
        <f ca="1">HYPERLINK("#"&amp;ADDRESS(2,3,,,a_Contents!$U$2),a_Contents!$B$2)</f>
        <v>Table of contents</v>
      </c>
      <c r="H2" s="893" t="str">
        <f ca="1">HYPERLINK("#"&amp;ADDRESS(MATCH($BD6,G_FurtherGuidance!$S:$S,0),3,,,G_FurtherGuidance!$U$2),G_FurtherGuidance!$B$2)</f>
        <v>Further Guidance</v>
      </c>
      <c r="I2" s="1189" t="str">
        <f ca="1">HYPERLINK("#"&amp;ADDRESS(2,3,,,Summary_Processes!$Y$2),Summary_Processes!$Y$2)</f>
        <v>Summary_Processes</v>
      </c>
      <c r="J2" s="1190"/>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78"/>
      <c r="C3" s="1179"/>
      <c r="D3" s="1180"/>
      <c r="E3" s="1171"/>
      <c r="F3" s="1171"/>
      <c r="G3" s="894" t="str">
        <f>IFERROR(HYPERLINK("#"&amp;ADDRESS(ROW($C$1)+MATCH(U3,$C:$C,0)-1,COLUMN($C$1)),INDEX($U:$U,MATCH(U3,$C:$C,0))),"")</f>
        <v/>
      </c>
      <c r="H3" s="894" t="str">
        <f>IFERROR(HYPERLINK("#"&amp;ADDRESS(ROW($C$1)+MATCH(W3,$C:$C,0)-1,COLUMN($C$1)),INDEX($U:$U,MATCH(W3,$C:$C,0))),"")</f>
        <v/>
      </c>
      <c r="I3" s="1455" t="str">
        <f>IFERROR(HYPERLINK("#"&amp;ADDRESS(ROW($C$1)+MATCH(Z3,$C:$C,0)-1,COLUMN($C$1)),INDEX($U:$U,MATCH(Z3,$C:$C,0))),"")</f>
        <v/>
      </c>
      <c r="J3" s="1456"/>
    </row>
    <row r="4" spans="1:67" ht="15.75" customHeight="1" thickBot="1" x14ac:dyDescent="0.35">
      <c r="B4" s="1181"/>
      <c r="C4" s="1182"/>
      <c r="D4" s="1183"/>
      <c r="E4" s="1171"/>
      <c r="F4" s="1171"/>
      <c r="G4" s="894" t="str">
        <f>IFERROR(HYPERLINK("#"&amp;ADDRESS(ROW($C$1)+MATCH(U4,$C:$C,0)-1,COLUMN($C$1)),INDEX($U:$U,MATCH(U4,$C:$C,0))),"")</f>
        <v/>
      </c>
      <c r="H4" s="894" t="str">
        <f>IFERROR(HYPERLINK("#"&amp;ADDRESS(ROW($C$1)+MATCH(W4,$C:$C,0)-1,COLUMN($C$1)),INDEX($U:$U,MATCH(W4,$C:$C,0))),"")</f>
        <v/>
      </c>
      <c r="I4" s="1453" t="str">
        <f>IFERROR(HYPERLINK("#"&amp;ADDRESS(ROW($C$1)+MATCH(Z4,$C:$C,0)-1,COLUMN($C$1)),INDEX($U:$U,MATCH(Z4,$C:$C,0))),"")</f>
        <v/>
      </c>
      <c r="J4" s="1454"/>
    </row>
    <row r="5" spans="1:67" ht="5.0999999999999996" customHeight="1" x14ac:dyDescent="0.3">
      <c r="J5" s="369"/>
    </row>
    <row r="6" spans="1:67" ht="12.75" customHeight="1" x14ac:dyDescent="0.25">
      <c r="D6" s="1287" t="str">
        <f ca="1">HYPERLINK("#"&amp;ADDRESS(MATCH($BD6,G_FurtherGuidance!$S:$S,0),3,,,G_FurtherGuidance!$U$2),CONST_LinkToGuidanceSheet)</f>
        <v>Please click on this link for further guidance on how to complete this section.</v>
      </c>
      <c r="E6" s="1287"/>
      <c r="F6" s="1287"/>
      <c r="G6" s="1287"/>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2" t="str">
        <f>Translations!$B$353</f>
        <v>Result: Effective CP due (per produced t or MWh)</v>
      </c>
      <c r="BA8" s="1452"/>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4270</v>
      </c>
      <c r="E10" s="463" t="str">
        <f t="shared" ref="E10:E39" si="0">IF(D10="","",INDEX(CNTR_List_ExistProdProc,MATCH(D10,CNTR_List_ExistProdProcNames,0)))</f>
        <v>Cement</v>
      </c>
      <c r="F10" s="732" t="s">
        <v>4273</v>
      </c>
      <c r="G10" s="464" t="str">
        <f t="shared" ref="G10:G39" si="1">IF(F10="","",INDEX(CNCodes_ListNames,MATCH(F10,CNCodes_ListKey,0)))</f>
        <v>Portland cement (excl. white, whether or not artificially coloured)</v>
      </c>
      <c r="H10" s="462" t="s">
        <v>4274</v>
      </c>
      <c r="I10" s="261">
        <f>IF(OR($D10="",$D10=CONST_NA),"",INDEX(InputOutput!$AK$71:$AK$80,MATCH($D10,InputOutput!$D$71:$D$80,0)))</f>
        <v>0.78521474103585653</v>
      </c>
      <c r="J10" s="261">
        <f>IF(OR($D10="",$D10=CONST_NA),"",INDEX(InputOutput!$AM$71:$AM$80,MATCH($D10,InputOutput!$D$71:$D$80,0)))</f>
        <v>0.12224275</v>
      </c>
      <c r="K10" s="261">
        <f t="shared" ref="K10:K41" si="2">IF(OR($D10="",$D10=CONST_NA),"",SUM(I10:J10))</f>
        <v>0.90745749103585649</v>
      </c>
      <c r="L10" s="261" t="str">
        <f t="shared" ref="L10:L41" si="3">IF(E10="","",CONST_tCO2eq &amp; "/" &amp; INDEX(CONST_LIST_GoodsUnit,MATCH(E10,CONST_LIST_Goods,0)))</f>
        <v>tCO2e/t</v>
      </c>
      <c r="M10" s="682">
        <f>IF($E10="","",INDEX(Summary_Processes!$AG$162:$AG$520,MATCH($D10,Summary_Processes!$D$162:$D$520,0)))</f>
        <v>0</v>
      </c>
      <c r="N10" s="261" t="str">
        <f>IF(D10="","",INDEX(D_Processes!T:T,MATCH(CONST_CNTR_ElecEFMethod&amp;D10,D_Processes!R:R,0)))</f>
        <v>D.4(b)</v>
      </c>
      <c r="O10" s="261">
        <f>IF(OR($D10="",$D10=CONST_NA),"",INDEX(InputOutput!$AO$71:$AO$80,MATCH($D10,InputOutput!$D$71:$D$80,0)))</f>
        <v>0.14674999999999999</v>
      </c>
      <c r="P10" s="465"/>
      <c r="Q10" s="465"/>
      <c r="R10" s="755"/>
      <c r="S10" s="755"/>
      <c r="T10" s="755"/>
      <c r="U10" s="755"/>
      <c r="V10" s="755"/>
      <c r="W10" s="755"/>
      <c r="X10" s="755"/>
      <c r="Y10" s="755"/>
      <c r="Z10" s="755"/>
      <c r="AA10" s="755"/>
      <c r="AB10" s="466">
        <v>0.95</v>
      </c>
      <c r="AC10" s="466"/>
      <c r="AD10" s="466"/>
      <c r="AE10" s="466"/>
      <c r="AF10" s="466"/>
      <c r="AG10" s="466"/>
      <c r="AH10" s="466"/>
      <c r="AI10" s="466"/>
      <c r="AJ10" s="466"/>
      <c r="AK10" s="466"/>
      <c r="AL10" s="445"/>
      <c r="AM10" s="446"/>
      <c r="AN10" s="459">
        <f>IF($K10="","",$K10*AM10)</f>
        <v>0</v>
      </c>
      <c r="AO10" s="458" t="str">
        <f t="shared" ref="AO10:AO41" si="4">L10</f>
        <v>tCO2e/t</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f>IF($K10="","",$K10*AU10)</f>
        <v>0</v>
      </c>
      <c r="AW10" s="458" t="str">
        <f>AO10</f>
        <v>tCO2e/t</v>
      </c>
      <c r="AX10" s="461"/>
      <c r="AY10" s="457" t="str">
        <f>AS10</f>
        <v/>
      </c>
      <c r="AZ10" s="460">
        <f t="shared" ref="AZ10:AZ41" si="7">IF(K10="","",(AR10-AX10))</f>
        <v>0</v>
      </c>
      <c r="BA10" s="456" t="str">
        <f>AS10</f>
        <v/>
      </c>
      <c r="BD10" s="279" t="str">
        <f t="shared" ref="BD10:BD41" ca="1" si="8">IF(OR($D10="",$D10=CONST_NA),"",INDEX(CONST_CNTR_ListGoodsForCN,MATCH(E10,CONST_LIST_Goods,0)))</f>
        <v>Parameters_Constants!$B$134:$B$136</v>
      </c>
      <c r="BI10" s="279" t="b">
        <f t="shared" ref="BI10:BI41" si="9">IF(CNTR_HasEntriesA,IF(AND(D10&lt;&gt;"",COUNTIF(D214:BA214,TRUE)&gt;0),CONST_ErrorOrMissing,IF(AND(D10&lt;&gt;"",COUNTIF(D214:BA214,TRUE)=0),TRUE,CONST_NA)),CONST_NA)</f>
        <v>1</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c r="E11" s="467" t="str">
        <f t="shared" si="0"/>
        <v/>
      </c>
      <c r="F11" s="733"/>
      <c r="G11" s="716" t="str">
        <f t="shared" si="1"/>
        <v/>
      </c>
      <c r="H11" s="468"/>
      <c r="I11" s="266" t="str">
        <f>IF(OR($D11="",$D11=CONST_NA),"",INDEX(InputOutput!$AK$71:$AK$80,MATCH($D11,InputOutput!$D$71:$D$80,0)))</f>
        <v/>
      </c>
      <c r="J11" s="266" t="str">
        <f>IF(OR($D11="",$D11=CONST_NA),"",INDEX(InputOutput!$AM$71:$AM$80,MATCH($D11,InputOutput!$D$71:$D$80,0)))</f>
        <v/>
      </c>
      <c r="K11" s="266" t="str">
        <f t="shared" si="2"/>
        <v/>
      </c>
      <c r="L11" s="266" t="str">
        <f t="shared" si="3"/>
        <v/>
      </c>
      <c r="M11" s="683" t="str">
        <f>IF($E11="","",INDEX(Summary_Processes!$AG$162:$AG$520,MATCH($D11,Summary_Processes!$D$162:$D$520,0)))</f>
        <v/>
      </c>
      <c r="N11" s="266" t="str">
        <f>IF(D11="","",INDEX(D_Processes!T:T,MATCH(CONST_CNTR_ElecEFMethod&amp;D11,D_Processes!R:R,0)))</f>
        <v/>
      </c>
      <c r="O11" s="266" t="str">
        <f>IF(OR($D11="",$D11=CONST_NA),"",INDEX(InputOutput!$AO$71:$AO$80,MATCH($D11,InputOutput!$D$71:$D$80,0)))</f>
        <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t="str">
        <f t="shared" ref="AN11:AN74" si="13">IF($K11="","",$K11*AM11)</f>
        <v/>
      </c>
      <c r="AO11" s="474" t="str">
        <f t="shared" si="4"/>
        <v/>
      </c>
      <c r="AP11" s="475"/>
      <c r="AQ11" s="687" t="str">
        <f t="shared" si="5"/>
        <v/>
      </c>
      <c r="AR11" s="476"/>
      <c r="AS11" s="474" t="str">
        <f t="shared" si="6"/>
        <v/>
      </c>
      <c r="AT11" s="471"/>
      <c r="AU11" s="472"/>
      <c r="AV11" s="473" t="str">
        <f t="shared" ref="AV11:AV74" si="14">IF($K11="","",$K11*AU11)</f>
        <v/>
      </c>
      <c r="AW11" s="474" t="str">
        <f t="shared" ref="AW11:AW74" si="15">AO11</f>
        <v/>
      </c>
      <c r="AX11" s="476"/>
      <c r="AY11" s="474" t="str">
        <f t="shared" ref="AY11:AY74" si="16">AS11</f>
        <v/>
      </c>
      <c r="AZ11" s="477" t="str">
        <f t="shared" si="7"/>
        <v/>
      </c>
      <c r="BA11" s="478" t="str">
        <f t="shared" ref="BA11:BA74" si="17">AS11</f>
        <v/>
      </c>
      <c r="BD11" s="279" t="str">
        <f t="shared" si="8"/>
        <v/>
      </c>
      <c r="BG11" s="279" t="b">
        <f t="shared" ref="BG11:BG42" si="18">AND(CNTR_HasEntriesA,D11="")</f>
        <v>1</v>
      </c>
      <c r="BI11" s="279" t="str">
        <f t="shared" si="9"/>
        <v>n.a.</v>
      </c>
      <c r="BK11" s="517" t="str">
        <f t="shared" si="10"/>
        <v/>
      </c>
      <c r="BL11" s="517" t="str">
        <f t="shared" si="11"/>
        <v/>
      </c>
      <c r="BM11" s="517" t="str">
        <f t="shared" ref="BM11:BM41" si="19">IF(AL11="","",MATCH(AL11,CONST_CarbonPriceType,0))</f>
        <v/>
      </c>
      <c r="BN11" s="517" t="str">
        <f t="shared" si="12"/>
        <v/>
      </c>
    </row>
    <row r="12" spans="1:67" ht="12.75" customHeight="1" x14ac:dyDescent="0.3">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1</v>
      </c>
      <c r="BI12" s="279" t="str">
        <f t="shared" si="9"/>
        <v>n.a.</v>
      </c>
      <c r="BK12" s="517" t="str">
        <f t="shared" si="10"/>
        <v/>
      </c>
      <c r="BL12" s="517" t="str">
        <f t="shared" si="11"/>
        <v/>
      </c>
      <c r="BM12" s="517" t="str">
        <f t="shared" si="19"/>
        <v/>
      </c>
      <c r="BN12" s="517" t="str">
        <f t="shared" si="12"/>
        <v/>
      </c>
    </row>
    <row r="13" spans="1:67" ht="12.75" customHeight="1" x14ac:dyDescent="0.3">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1</v>
      </c>
      <c r="BI13" s="279" t="str">
        <f t="shared" si="9"/>
        <v>n.a.</v>
      </c>
      <c r="BK13" s="517" t="str">
        <f t="shared" si="10"/>
        <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1</v>
      </c>
      <c r="Q112" s="279" t="b">
        <f>IF(OR($D10="",$D10=CONST_NA),FALSE,INDEX(Parameters_Constants!$K$110:$AF$127,MATCH($E10,CONST_LIST_Goods,0),MATCH(Q$8,Parameters_Constants!$K$109:$AF$109,0))=FALSE)</f>
        <v>1</v>
      </c>
      <c r="R112" s="279" t="b">
        <f>IF(OR($D10="",$D10=CONST_NA),FALSE,INDEX(Parameters_Constants!$K$110:$AF$127,MATCH($E10,CONST_LIST_Goods,0),MATCH(R$8,Parameters_Constants!$K$109:$AF$109,0))=FALSE)</f>
        <v>1</v>
      </c>
      <c r="S112" s="279" t="b">
        <f>IF(OR($D10="",$D10=CONST_NA),FALSE,INDEX(Parameters_Constants!$K$110:$AF$127,MATCH($E10,CONST_LIST_Goods,0),MATCH(S$8,Parameters_Constants!$K$109:$AF$109,0))=FALSE)</f>
        <v>1</v>
      </c>
      <c r="T112" s="279" t="b">
        <f>IF(OR($D10="",$D10=CONST_NA),FALSE,INDEX(Parameters_Constants!$K$110:$AF$127,MATCH($E10,CONST_LIST_Goods,0),MATCH(T$8,Parameters_Constants!$K$109:$AF$109,0))=FALSE)</f>
        <v>1</v>
      </c>
      <c r="U112" s="279" t="b">
        <f>IF(OR($D10="",$D10=CONST_NA),FALSE,INDEX(Parameters_Constants!$K$110:$AF$127,MATCH($E10,CONST_LIST_Goods,0),MATCH(U$8,Parameters_Constants!$K$109:$AF$109,0))=FALSE)</f>
        <v>1</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1</v>
      </c>
      <c r="X112" s="279" t="b">
        <f>IF(OR($D10="",$D10=CONST_NA),FALSE,INDEX(Parameters_Constants!$K$110:$AF$127,MATCH($E10,CONST_LIST_Goods,0),MATCH(X$8,Parameters_Constants!$K$109:$AF$109,0))=FALSE)</f>
        <v>1</v>
      </c>
      <c r="Y112" s="279" t="b">
        <f>IF(OR($D10="",$D10=CONST_NA),FALSE,INDEX(Parameters_Constants!$K$110:$AF$127,MATCH($E10,CONST_LIST_Goods,0),MATCH(Y$8,Parameters_Constants!$K$109:$AF$109,0))=FALSE)</f>
        <v>1</v>
      </c>
      <c r="Z112" s="279" t="b">
        <f>IF(OR($D10="",$D10=CONST_NA),FALSE,INDEX(Parameters_Constants!$K$110:$AF$127,MATCH($E10,CONST_LIST_Goods,0),MATCH(Z$8,Parameters_Constants!$K$109:$AF$109,0))=FALSE)</f>
        <v>1</v>
      </c>
      <c r="AA112" s="279" t="b">
        <f>IF(OR($D10="",$D10=CONST_NA),FALSE,INDEX(Parameters_Constants!$K$110:$AF$127,MATCH($E10,CONST_LIST_Goods,0),MATCH(AA$8,Parameters_Constants!$K$109:$AF$109,0))=FALSE)</f>
        <v>1</v>
      </c>
      <c r="AB112" s="279" t="b">
        <f>IF(OR($D10="",$D10=CONST_NA),FALSE,INDEX(Parameters_Constants!$K$110:$AF$127,MATCH($E10,CONST_LIST_Goods,0),MATCH(AB$8,Parameters_Constants!$K$109:$AF$109,0))=FALSE)</f>
        <v>0</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1</v>
      </c>
      <c r="AI112" s="279" t="b">
        <f>IF(OR($D10="",$D10=CONST_NA),FALSE,INDEX(Parameters_Constants!$K$110:$AF$127,MATCH($E10,CONST_LIST_Goods,0),MATCH(AI$8,Parameters_Constants!$K$109:$AF$109,0))=FALSE)</f>
        <v>1</v>
      </c>
      <c r="AJ112" s="279" t="b">
        <f>IF(OR($D10="",$D10=CONST_NA),FALSE,INDEX(Parameters_Constants!$K$110:$AF$127,MATCH($E10,CONST_LIST_Goods,0),MATCH(AJ$8,Parameters_Constants!$K$109:$AF$109,0))=FALSE)</f>
        <v>1</v>
      </c>
      <c r="AK112" s="279" t="b">
        <f>IF(OR($D10="",$D10=CONST_NA),FALSE,INDEX(Parameters_Constants!$K$110:$AF$127,MATCH($E10,CONST_LIST_Goods,0),MATCH(AK$8,Parameters_Constants!$K$109:$AF$109,0))=FALSE)</f>
        <v>1</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0</v>
      </c>
      <c r="W113" s="279" t="b">
        <f>IF(OR($D11="",$D11=CONST_NA),FALSE,INDEX(Parameters_Constants!$K$110:$AF$127,MATCH($E11,CONST_LIST_Goods,0),MATCH(W$8,Parameters_Constants!$K$109:$AF$109,0))=FALSE)</f>
        <v>0</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0</v>
      </c>
      <c r="AC113" s="279" t="b">
        <f>IF(OR($D11="",$D11=CONST_NA),FALSE,INDEX(Parameters_Constants!$K$110:$AF$127,MATCH($E11,CONST_LIST_Goods,0),MATCH(AC$8,Parameters_Constants!$K$109:$AF$109,0))=FALSE)</f>
        <v>0</v>
      </c>
      <c r="AD113" s="279" t="b">
        <f>IF(OR($D11="",$D11=CONST_NA),FALSE,INDEX(Parameters_Constants!$K$110:$AF$127,MATCH($E11,CONST_LIST_Goods,0),MATCH(AD$8,Parameters_Constants!$K$109:$AF$109,0))=FALSE)</f>
        <v>0</v>
      </c>
      <c r="AE113" s="279" t="b">
        <f>IF(OR($D11="",$D11=CONST_NA),FALSE,INDEX(Parameters_Constants!$K$110:$AF$127,MATCH($E11,CONST_LIST_Goods,0),MATCH(AE$8,Parameters_Constants!$K$109:$AF$109,0))=FALSE)</f>
        <v>0</v>
      </c>
      <c r="AF113" s="279" t="b">
        <f>IF(OR($D11="",$D11=CONST_NA),FALSE,INDEX(Parameters_Constants!$K$110:$AF$127,MATCH($E11,CONST_LIST_Goods,0),MATCH(AF$8,Parameters_Constants!$K$109:$AF$109,0))=FALSE)</f>
        <v>0</v>
      </c>
      <c r="AG113" s="279" t="b">
        <f>IF(OR($D11="",$D11=CONST_NA),FALSE,INDEX(Parameters_Constants!$K$110:$AF$127,MATCH($E11,CONST_LIST_Goods,0),MATCH(AG$8,Parameters_Constants!$K$109:$AF$109,0))=FALSE)</f>
        <v>0</v>
      </c>
      <c r="AH113" s="279" t="b">
        <f>IF(OR($D11="",$D11=CONST_NA),FALSE,INDEX(Parameters_Constants!$K$110:$AF$127,MATCH($E11,CONST_LIST_Goods,0),MATCH(AH$8,Parameters_Constants!$K$109:$AF$109,0))=FALSE)</f>
        <v>0</v>
      </c>
      <c r="AI113" s="279" t="b">
        <f>IF(OR($D11="",$D11=CONST_NA),FALSE,INDEX(Parameters_Constants!$K$110:$AF$127,MATCH($E11,CONST_LIST_Goods,0),MATCH(AI$8,Parameters_Constants!$K$109:$AF$109,0))=FALSE)</f>
        <v>0</v>
      </c>
      <c r="AJ113" s="279" t="b">
        <f>IF(OR($D11="",$D11=CONST_NA),FALSE,INDEX(Parameters_Constants!$K$110:$AF$127,MATCH($E11,CONST_LIST_Goods,0),MATCH(AJ$8,Parameters_Constants!$K$109:$AF$109,0))=FALSE)</f>
        <v>0</v>
      </c>
      <c r="AK113" s="279" t="b">
        <f>IF(OR($D11="",$D11=CONST_NA),FALSE,INDEX(Parameters_Constants!$K$110:$AF$127,MATCH($E11,CONST_LIST_Goods,0),MATCH(AK$8,Parameters_Constants!$K$109:$AF$109,0))=FALSE)</f>
        <v>0</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57" t="str">
        <f>Translations!$C$619</f>
        <v>Communication with reporting declarants</v>
      </c>
      <c r="C2" s="1458"/>
      <c r="D2" s="1458"/>
      <c r="E2" s="1458"/>
      <c r="F2" s="1459"/>
      <c r="G2" s="893" t="str">
        <f ca="1">HYPERLINK("#"&amp;ADDRESS(2,3,,,a_Contents!$U$2),a_Contents!$B$2)</f>
        <v>Table of contents</v>
      </c>
      <c r="H2" s="893" t="str">
        <f ca="1">HYPERLINK("#"&amp;ADDRESS(2,3,,,G_FurtherGuidance!$U$2),G_FurtherGuidance!$B$2)</f>
        <v>Further Guidance</v>
      </c>
      <c r="I2" s="1186" t="str">
        <f ca="1">HYPERLINK("#"&amp;ADDRESS(2,3,,,Summary_Processes!$Y$2),Summary_Processes!$Y$2)</f>
        <v>Summary_Processes</v>
      </c>
      <c r="J2" s="1187"/>
      <c r="K2" s="1186" t="str">
        <f ca="1">HYPERLINK("#"&amp;ADDRESS(2,3,,,Summary_Products!$BF$2),Summary_Products!$BF$2)</f>
        <v>Summary_Products</v>
      </c>
      <c r="L2" s="1187"/>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0"/>
      <c r="E4" s="1461"/>
      <c r="F4" s="1461"/>
      <c r="G4" s="1461"/>
      <c r="H4" s="1461"/>
      <c r="I4" s="1461"/>
      <c r="J4" s="1461"/>
      <c r="K4" s="1461"/>
      <c r="L4" s="1461"/>
      <c r="M4" s="1461"/>
      <c r="N4" s="369"/>
    </row>
    <row r="5" spans="1:58" ht="25.95" customHeight="1" x14ac:dyDescent="0.25">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88"/>
      <c r="F5" s="1188"/>
      <c r="G5" s="1188"/>
      <c r="H5" s="1188"/>
      <c r="I5" s="1188"/>
      <c r="J5" s="1188"/>
      <c r="K5" s="1188"/>
      <c r="L5" s="1188"/>
      <c r="M5" s="1188"/>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2" t="str">
        <f>Translations!$C$297</f>
        <v>Parameter</v>
      </c>
      <c r="E11" s="1462"/>
      <c r="F11" s="1462"/>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2" t="str">
        <f>Translations!$C$1853</f>
        <v>Calculation - based (excl. PFC emissions)</v>
      </c>
      <c r="AA11" s="1452"/>
      <c r="AB11" s="1452" t="str">
        <f>Translations!$C$236</f>
        <v>Total PFC emissions</v>
      </c>
      <c r="AC11" s="1452"/>
      <c r="AD11" s="1452" t="str">
        <f>Translations!$C$1854</f>
        <v>Measurement - based</v>
      </c>
      <c r="AE11" s="1452"/>
      <c r="AF11" s="1452" t="str">
        <f>Translations!$C$638</f>
        <v>Other</v>
      </c>
      <c r="AG11" s="1452"/>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Cement Producer</v>
      </c>
      <c r="H12" s="770" t="str">
        <f>Summary_Processes!D21</f>
        <v>G1</v>
      </c>
      <c r="I12" s="420" t="str">
        <f>IF(Summary_Processes!E21="","",INDEX(Translations!$C:$C,MATCH(Summary_Processes!E21,Translations!$B:$B,0)))</f>
        <v>Cement</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Cement Bubble</v>
      </c>
      <c r="R12" s="420" t="str">
        <f>IF(Summary_Processes!F33="","",INDEX(Translations!$C:$C,MATCH(Summary_Processes!F33,Translations!$B:$B,0)))</f>
        <v>Cement</v>
      </c>
      <c r="S12" s="765" t="str">
        <f>IF(Summary_Processes!G33="","",INDEX(Translations!$C:$C,MATCH(Summary_Processes!G33,Translations!$B:$B,0)))</f>
        <v>Cement clinker</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64" t="str">
        <f>CONST_tCO2eq</f>
        <v>tCO2e</v>
      </c>
      <c r="AA12" s="1464"/>
      <c r="AB12" s="1464" t="str">
        <f>CONST_tCO2eq</f>
        <v>tCO2e</v>
      </c>
      <c r="AC12" s="1464"/>
      <c r="AD12" s="1464" t="str">
        <f>CONST_tCO2eq</f>
        <v>tCO2e</v>
      </c>
      <c r="AE12" s="1464"/>
      <c r="AF12" s="1464" t="str">
        <f>CONST_tCO2eq</f>
        <v>tCO2e</v>
      </c>
      <c r="AG12" s="1464"/>
      <c r="AH12" s="93"/>
      <c r="AK12" s="1143" t="str">
        <f>Translations!$C$2112</f>
        <v>Carbon price instrument:</v>
      </c>
      <c r="AL12" s="1463" t="str">
        <f>IF(Summary_Processes!M13="","",Summary_Processes!M13)</f>
        <v>None</v>
      </c>
      <c r="AM12" s="1463"/>
      <c r="AN12" s="1463"/>
      <c r="AO12" s="1463"/>
      <c r="AP12" s="1463"/>
      <c r="AQ12" s="1463"/>
      <c r="AR12" s="1463"/>
      <c r="AS12" s="1463"/>
      <c r="AT12" s="1463"/>
      <c r="AU12" s="1463"/>
      <c r="AV12" s="1463"/>
      <c r="AW12" s="1463"/>
      <c r="AX12" s="1463"/>
      <c r="AY12" s="1463"/>
      <c r="AZ12" s="1463"/>
      <c r="BA12" s="12"/>
      <c r="BB12" s="104"/>
      <c r="BC12" s="156"/>
      <c r="BD12" s="276"/>
      <c r="BE12" s="276"/>
      <c r="BF12" s="276"/>
    </row>
    <row r="13" spans="1:58" ht="12.75" customHeight="1" x14ac:dyDescent="0.25">
      <c r="C13" s="93"/>
      <c r="D13" s="620" t="str">
        <f>Translations!$C$75</f>
        <v>Street, Number:</v>
      </c>
      <c r="E13" s="620"/>
      <c r="F13" s="621"/>
      <c r="G13" s="421" t="str">
        <f>Summary_Processes!G11</f>
        <v>Cement street 2023</v>
      </c>
      <c r="H13" s="770" t="str">
        <f>Summary_Processes!D22</f>
        <v>G1</v>
      </c>
      <c r="I13" s="421" t="str">
        <f>IF(Summary_Processes!E22="","",INDEX(Translations!$C:$C,MATCH(Summary_Processes!E22,Translations!$B:$B,0)))</f>
        <v>Cement clinker</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
      </c>
      <c r="R13" s="421" t="str">
        <f>IF(Summary_Processes!F34="","",INDEX(Translations!$C:$C,MATCH(Summary_Processes!F34,Translations!$B:$B,0)))</f>
        <v/>
      </c>
      <c r="S13" s="766" t="str">
        <f>IF(Summary_Processes!G34="","",INDEX(Translations!$C:$C,MATCH(Summary_Processes!G34,Translations!$B:$B,0)))</f>
        <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65">
        <f>'C_Emissions&amp;Energy'!H32</f>
        <v>1037310</v>
      </c>
      <c r="AA13" s="1465"/>
      <c r="AB13" s="1465">
        <f>'C_Emissions&amp;Energy'!I32</f>
        <v>0</v>
      </c>
      <c r="AC13" s="1465"/>
      <c r="AD13" s="1465">
        <f>'C_Emissions&amp;Energy'!J32</f>
        <v>0</v>
      </c>
      <c r="AE13" s="1465"/>
      <c r="AF13" s="1465">
        <f>'C_Emissions&amp;Energy'!K32</f>
        <v>0</v>
      </c>
      <c r="AG13" s="1465"/>
      <c r="AH13" s="93"/>
      <c r="AK13" s="1143" t="str">
        <f>Translations!$C$2114</f>
        <v>Any additional information:</v>
      </c>
      <c r="AL13" s="1463" t="str">
        <f>IF(Summary_Processes!M16="","",Summary_Processes!M16)</f>
        <v>None</v>
      </c>
      <c r="AM13" s="1463"/>
      <c r="AN13" s="1463"/>
      <c r="AO13" s="1463"/>
      <c r="AP13" s="1463"/>
      <c r="AQ13" s="1463"/>
      <c r="AR13" s="1463"/>
      <c r="AS13" s="1463"/>
      <c r="AT13" s="1463"/>
      <c r="AU13" s="1463"/>
      <c r="AV13" s="1463"/>
      <c r="AW13" s="1463"/>
      <c r="AX13" s="1463"/>
      <c r="AY13" s="1463"/>
      <c r="AZ13" s="1463"/>
      <c r="BA13" s="12"/>
      <c r="BB13" s="104"/>
      <c r="BC13" s="156"/>
      <c r="BD13" s="276"/>
      <c r="BE13" s="276"/>
      <c r="BF13" s="276"/>
    </row>
    <row r="14" spans="1:58" ht="12.75" customHeight="1" x14ac:dyDescent="0.25">
      <c r="C14" s="93"/>
      <c r="D14" s="620" t="str">
        <f>Translations!$C$76</f>
        <v>Economic activity:</v>
      </c>
      <c r="E14" s="620"/>
      <c r="F14" s="621"/>
      <c r="G14" s="421" t="str">
        <f>Summary_Processes!G12</f>
        <v>Clinker and cement</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1037310</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TR</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161489.1</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TR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1198799.1000000001</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analyses</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Internal audits</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Cement Bubble</v>
      </c>
      <c r="E26" s="420" t="str">
        <f>IF(Summary_Products!E10="","",INDEX(Translations!$C:$C,MATCH(Summary_Products!E10,Translations!$B:$B,0)))</f>
        <v>Cement</v>
      </c>
      <c r="F26" s="778" t="str">
        <f>IF(Summary_Products!F10="","",Summary_Products!F10)</f>
        <v>25232900</v>
      </c>
      <c r="G26" s="765" t="str">
        <f>IF(F26="","",INDEX(Parameters_CNCodes!$H$4:$H$572,MATCH(F26,CNCodes_ListKey,0)))</f>
        <v>Portland cement (excl. white, whether or not artificially coloured)</v>
      </c>
      <c r="H26" s="765" t="str">
        <f>IF(Summary_Products!H10="","",Summary_Products!H10)</f>
        <v>Portland Cement Art. Nr. 1</v>
      </c>
      <c r="I26" s="779">
        <f>IF(Summary_Products!I10="","",Summary_Products!I10)</f>
        <v>0.78521474103585653</v>
      </c>
      <c r="J26" s="779">
        <f>IF(Summary_Products!J10="","",Summary_Products!J10)</f>
        <v>0.12224275</v>
      </c>
      <c r="K26" s="779">
        <f>IF(Summary_Products!K10="","",Summary_Products!K10)</f>
        <v>0.90745749103585649</v>
      </c>
      <c r="L26" s="779" t="str">
        <f>IF(Summary_Products!L10="","",Summary_Products!L10)</f>
        <v>tCO2e/t</v>
      </c>
      <c r="M26" s="780">
        <f>IF(Summary_Products!M10="","",Summary_Products!M10)</f>
        <v>0</v>
      </c>
      <c r="N26" s="779" t="str">
        <f>IF(Summary_Products!N10="","",Summary_Products!N10)</f>
        <v>D.4(b)</v>
      </c>
      <c r="O26" s="779">
        <f>IF(Summary_Products!O10="","",Summary_Products!O10)</f>
        <v>0.14674999999999999</v>
      </c>
      <c r="P26" s="155" t="str">
        <f>IF(Summary_Products!P10="","",INDEX(Translations!$C:$C,MATCH(Summary_Products!P10,Translations!$B:$B,0)))</f>
        <v/>
      </c>
      <c r="Q26" s="155" t="str">
        <f>IF(Summary_Products!Q10="","",Summary_Products!Q10)</f>
        <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f>IF(Summary_Products!AB10="","",Summary_Products!AB10)</f>
        <v>0.95</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f>IF(Summary_Products!AN10="","",Summary_Products!AN10)</f>
        <v>0</v>
      </c>
      <c r="AO26" s="458" t="str">
        <f>IF(Summary_Products!AO10="","",Summary_Products!AO10)</f>
        <v>tCO2e/t</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f>IF(Summary_Products!AV10="","",Summary_Products!AV10)</f>
        <v>0</v>
      </c>
      <c r="AV26" s="458" t="str">
        <f>IF(Summary_Products!AW10="","",Summary_Products!AW10)</f>
        <v>tCO2e/t</v>
      </c>
      <c r="AW26" s="460" t="str">
        <f>IF(Summary_Products!AX10="","",Summary_Products!AX10)</f>
        <v/>
      </c>
      <c r="AX26" s="457" t="str">
        <f>IF(Summary_Products!AY10="","",Summary_Products!AY10)</f>
        <v/>
      </c>
      <c r="AY26" s="460">
        <f>IF(Summary_Products!AZ10="","",Summary_Products!AZ10)</f>
        <v>0</v>
      </c>
      <c r="AZ26" s="456" t="str">
        <f>IF(Summary_Products!BA10="","",Summary_Products!BA10)</f>
        <v/>
      </c>
      <c r="BC26" s="156"/>
      <c r="BD26" s="156"/>
      <c r="BE26" s="156"/>
      <c r="BF26" s="156"/>
    </row>
    <row r="27" spans="1:58" ht="12.75" customHeight="1" x14ac:dyDescent="0.2">
      <c r="B27" s="277"/>
      <c r="C27" s="777">
        <v>2</v>
      </c>
      <c r="D27" s="766" t="str">
        <f>IF(Summary_Products!D11="","",Summary_Products!D11)</f>
        <v/>
      </c>
      <c r="E27" s="421" t="str">
        <f>IF(Summary_Products!E11="","",INDEX(Translations!$C:$C,MATCH(Summary_Products!E11,Translations!$B:$B,0)))</f>
        <v/>
      </c>
      <c r="F27" s="781" t="str">
        <f>IF(Summary_Products!F11="","",Summary_Products!F11)</f>
        <v/>
      </c>
      <c r="G27" s="766" t="str">
        <f>IF(F27="","",INDEX(Parameters_CNCodes!$H$4:$H$572,MATCH(F27,CNCodes_ListKey,0)))</f>
        <v/>
      </c>
      <c r="H27" s="766" t="str">
        <f>IF(Summary_Products!H11="","",Summary_Products!H11)</f>
        <v/>
      </c>
      <c r="I27" s="782" t="str">
        <f>IF(Summary_Products!I11="","",Summary_Products!I11)</f>
        <v/>
      </c>
      <c r="J27" s="782" t="str">
        <f>IF(Summary_Products!J11="","",Summary_Products!J11)</f>
        <v/>
      </c>
      <c r="K27" s="782" t="str">
        <f>IF(Summary_Products!K11="","",Summary_Products!K11)</f>
        <v/>
      </c>
      <c r="L27" s="782" t="str">
        <f>IF(Summary_Products!L11="","",Summary_Products!L11)</f>
        <v/>
      </c>
      <c r="M27" s="783" t="str">
        <f>IF(Summary_Products!M11="","",Summary_Products!M11)</f>
        <v/>
      </c>
      <c r="N27" s="782" t="str">
        <f>IF(Summary_Products!N11="","",Summary_Products!N11)</f>
        <v/>
      </c>
      <c r="O27" s="782" t="str">
        <f>IF(Summary_Products!O11="","",Summary_Products!O11)</f>
        <v/>
      </c>
      <c r="P27" s="160" t="str">
        <f>IF(Summary_Products!P11="","",INDEX(Translations!$C:$C,MATCH(Summary_Products!P11,Translations!$B:$B,0)))</f>
        <v/>
      </c>
      <c r="Q27" s="160" t="str">
        <f>IF(Summary_Products!Q11="","",Summary_Products!Q11)</f>
        <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t="str">
        <f>IF(Summary_Products!AN11="","",Summary_Products!AN11)</f>
        <v/>
      </c>
      <c r="AO27" s="474" t="str">
        <f>IF(Summary_Products!AO11="","",Summary_Products!AO11)</f>
        <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t="str">
        <f>IF(Summary_Products!AV11="","",Summary_Products!AV11)</f>
        <v/>
      </c>
      <c r="AV27" s="474" t="str">
        <f>IF(Summary_Products!AW11="","",Summary_Products!AW11)</f>
        <v/>
      </c>
      <c r="AW27" s="477" t="str">
        <f>IF(Summary_Products!AX11="","",Summary_Products!AX11)</f>
        <v/>
      </c>
      <c r="AX27" s="474" t="str">
        <f>IF(Summary_Products!AY11="","",Summary_Products!AY11)</f>
        <v/>
      </c>
      <c r="AY27" s="477" t="str">
        <f>IF(Summary_Products!AZ11="","",Summary_Products!AZ11)</f>
        <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AD11:AE11"/>
    <mergeCell ref="AD12:AE12"/>
    <mergeCell ref="AD13:AE13"/>
    <mergeCell ref="AF11:AG11"/>
    <mergeCell ref="Z12:AA12"/>
    <mergeCell ref="Z13:AA13"/>
    <mergeCell ref="AB11:AC11"/>
    <mergeCell ref="AB12:AC12"/>
    <mergeCell ref="AB13:AC13"/>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Cement Bubble</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Cement Bubble</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Cement Bubble</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Cement Bubble</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Cement Bubble</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Cement Bubble</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Cement Bubble</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0.78521474103585653</v>
      </c>
      <c r="AK71" s="341">
        <f t="array" ref="AK71:AK100">MMULT(E71:AH100,AJ71:AJ100)</f>
        <v>0.78521474103585653</v>
      </c>
      <c r="AL71" s="344">
        <f>IFERROR(SUMIF(D_Processes!S:S,CONST_CNTR_EmbedEmInDir &amp; D71,D_Processes!T:T)/SUMIF(D_Processes!R:R,CONST_CNTR_TotProd &amp; D71,D_Processes!T:T),0)</f>
        <v>0.12224275</v>
      </c>
      <c r="AM71" s="341">
        <f t="array" ref="AM71:AM100">MMULT(E71:AH100,AL71:AL100)</f>
        <v>0.12224275</v>
      </c>
      <c r="AN71" s="344">
        <f>IFERROR(SUMIF(D_Processes!R:R,CONST_ElecConsumption &amp; D71,D_Processes!T:T)/SUMIF(D_Processes!R:R,CONST_CNTR_TotProd &amp; D71,D_Processes!T:T),0)</f>
        <v>0.14674999999999999</v>
      </c>
      <c r="AO71" s="341">
        <f t="array" ref="AO71:AO100">MMULT(E71:AH100,AN71:AN100)</f>
        <v>0.14674999999999999</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1</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1</v>
      </c>
      <c r="BI90" s="874"/>
      <c r="BJ90" s="878">
        <v>1</v>
      </c>
      <c r="BK90" s="874"/>
      <c r="BL90" s="878">
        <f>IF(BJ90&gt;0,MAX($BL$88:BL89)+1,"")</f>
        <v>1</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1</v>
      </c>
      <c r="BK91" s="874"/>
      <c r="BL91" s="878">
        <f>IF(BJ91&gt;0,MAX($BL$88:BL90)+1,"")</f>
        <v>2</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0</v>
      </c>
      <c r="BK99" s="874"/>
      <c r="BL99" s="878" t="str">
        <f>IF(BJ99&gt;0,MAX($BL$88:BL98)+1,"")</f>
        <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75" t="str">
        <f>Translations!$B$10</f>
        <v>Table of contents</v>
      </c>
      <c r="C2" s="1176"/>
      <c r="D2" s="1177"/>
      <c r="E2" s="1184" t="str">
        <f>Translations!$B$11</f>
        <v>Navigation Area:</v>
      </c>
      <c r="F2" s="1185"/>
      <c r="G2" s="1189" t="str">
        <f ca="1">HYPERLINK("#"&amp;ADDRESS(2,3,,,a_Contents!$U$2),a_Contents!$B$2)</f>
        <v>Table of contents</v>
      </c>
      <c r="H2" s="1190"/>
      <c r="I2" s="1189" t="str">
        <f ca="1">HYPERLINK("#"&amp;ADDRESS(2,3,,,G_FurtherGuidance!$U$2),G_FurtherGuidance!$B$2)</f>
        <v>Further Guidance</v>
      </c>
      <c r="J2" s="1190"/>
      <c r="K2" s="1189" t="str">
        <f ca="1">HYPERLINK("#"&amp;ADDRESS(2,3,,,Summary_Processes!$Y$2),Summary_Processes!$Y$2)</f>
        <v>Summary_Processes</v>
      </c>
      <c r="L2" s="1190"/>
      <c r="M2" s="1189" t="str">
        <f ca="1">HYPERLINK("#"&amp;ADDRESS(2,3,,,Summary_Products!$BF$2),Summary_Products!$BF$2)</f>
        <v>Summary_Products</v>
      </c>
      <c r="N2" s="1190"/>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78"/>
      <c r="C3" s="1179"/>
      <c r="D3" s="1180"/>
      <c r="E3" s="1171"/>
      <c r="F3" s="1171"/>
      <c r="G3" s="1171"/>
      <c r="H3" s="1171"/>
      <c r="I3" s="1171"/>
      <c r="J3" s="1171"/>
      <c r="K3" s="1171"/>
      <c r="L3" s="1171"/>
      <c r="M3" s="1171"/>
      <c r="N3" s="1171"/>
      <c r="O3" s="428"/>
      <c r="Q3" s="144"/>
      <c r="R3" s="171"/>
      <c r="S3" s="171"/>
      <c r="T3" s="171"/>
      <c r="U3" s="1119"/>
      <c r="V3" s="144"/>
    </row>
    <row r="4" spans="1:22" ht="14.1" customHeight="1" thickBot="1" x14ac:dyDescent="0.35">
      <c r="B4" s="1181"/>
      <c r="C4" s="1182"/>
      <c r="D4" s="1183"/>
      <c r="E4" s="1171"/>
      <c r="F4" s="1171"/>
      <c r="G4" s="1171"/>
      <c r="H4" s="1171"/>
      <c r="I4" s="1171"/>
      <c r="J4" s="1171"/>
      <c r="K4" s="1171"/>
      <c r="L4" s="1171"/>
      <c r="M4" s="1171"/>
      <c r="N4" s="1171"/>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5" t="str">
        <f ca="1">HYPERLINK("#"&amp;S8,INDIRECT(S8))</f>
        <v>Sheet "Version history"</v>
      </c>
      <c r="E8" s="1192"/>
      <c r="F8" s="1192"/>
      <c r="G8" s="1192"/>
      <c r="H8" s="1192"/>
      <c r="I8" s="1192"/>
      <c r="J8" s="1192"/>
      <c r="K8" s="1192"/>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5" t="str">
        <f ca="1">HYPERLINK("#"&amp;S10,INDIRECT(S10))</f>
        <v>Sheet "Table of contents"</v>
      </c>
      <c r="E10" s="1192"/>
      <c r="F10" s="1192"/>
      <c r="G10" s="1192"/>
      <c r="H10" s="1192"/>
      <c r="I10" s="1192"/>
      <c r="J10" s="1192"/>
      <c r="K10" s="1192"/>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5" t="str">
        <f ca="1">HYPERLINK("#"&amp;S12,INDIRECT(S12))</f>
        <v>Sheet "Guidelines &amp; conditions"</v>
      </c>
      <c r="E12" s="1192"/>
      <c r="F12" s="1192"/>
      <c r="G12" s="1192"/>
      <c r="H12" s="1192"/>
      <c r="I12" s="1192"/>
      <c r="J12" s="1192"/>
      <c r="K12" s="1192"/>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5" t="str">
        <f ca="1">HYPERLINK("#"&amp;S14,INDIRECT(S14))</f>
        <v>Sheet "Code Lists"</v>
      </c>
      <c r="E14" s="1192"/>
      <c r="F14" s="1192"/>
      <c r="G14" s="1192"/>
      <c r="H14" s="1192"/>
      <c r="I14" s="1192"/>
      <c r="J14" s="1192"/>
      <c r="K14" s="1192"/>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5" t="str">
        <f ca="1">HYPERLINK("#"&amp;S16,INDIRECT(S16))</f>
        <v xml:space="preserve">Sheet "A_InstData" - General information, production processes and purchased precursors </v>
      </c>
      <c r="E16" s="1192"/>
      <c r="F16" s="1192"/>
      <c r="G16" s="1192"/>
      <c r="H16" s="1192"/>
      <c r="I16" s="1192"/>
      <c r="J16" s="1192"/>
      <c r="K16" s="1192"/>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6" t="str">
        <f ca="1">HYPERLINK("#"&amp;S17,INDIRECT(S17))</f>
        <v>Reporting period</v>
      </c>
      <c r="F17" s="1192"/>
      <c r="G17" s="1192"/>
      <c r="H17" s="1192"/>
      <c r="I17" s="1192"/>
      <c r="J17" s="1192"/>
      <c r="K17" s="1192"/>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6" t="str">
        <f ca="1">HYPERLINK("#"&amp;S18,INDIRECT(S18))</f>
        <v>About the installation</v>
      </c>
      <c r="F18" s="1192"/>
      <c r="G18" s="1192"/>
      <c r="H18" s="1192"/>
      <c r="I18" s="1192"/>
      <c r="J18" s="1192"/>
      <c r="K18" s="1192"/>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6" t="str">
        <f ca="1">HYPERLINK("#"&amp;S19,INDIRECT(S19))</f>
        <v>Verifier of the report – only if available and not required during transitional period</v>
      </c>
      <c r="F19" s="1192"/>
      <c r="G19" s="1192"/>
      <c r="H19" s="1192"/>
      <c r="I19" s="1192"/>
      <c r="J19" s="1192"/>
      <c r="K19" s="1192"/>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6" t="str">
        <f ca="1">HYPERLINK("#"&amp;S20,INDIRECT(S20))</f>
        <v>Aggregated goods categories and relevant production processes</v>
      </c>
      <c r="F20" s="1192"/>
      <c r="G20" s="1192"/>
      <c r="H20" s="1192"/>
      <c r="I20" s="1192"/>
      <c r="J20" s="1192"/>
      <c r="K20" s="1192"/>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6" t="str">
        <f ca="1">HYPERLINK("#"&amp;S21,INDIRECT(S21))</f>
        <v>Purchased precursors</v>
      </c>
      <c r="F21" s="1192"/>
      <c r="G21" s="1192"/>
      <c r="H21" s="1192"/>
      <c r="I21" s="1192"/>
      <c r="J21" s="1192"/>
      <c r="K21" s="1192"/>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5" t="str">
        <f ca="1">HYPERLINK("#"&amp;S23,INDIRECT(S23))</f>
        <v>Sheet "B_EmInst" - Installation's emission at source stream and emission source level</v>
      </c>
      <c r="E23" s="1192"/>
      <c r="F23" s="1192"/>
      <c r="G23" s="1192"/>
      <c r="H23" s="1192"/>
      <c r="I23" s="1192"/>
      <c r="J23" s="1192"/>
      <c r="K23" s="1192"/>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91" t="str">
        <f ca="1">HYPERLINK("#"&amp;S24,INDIRECT(S24))</f>
        <v>Calculation based approaches: Source Streams (excluding PFC emissions)</v>
      </c>
      <c r="F24" s="1192"/>
      <c r="G24" s="1192"/>
      <c r="H24" s="1192"/>
      <c r="I24" s="1192"/>
      <c r="J24" s="1192"/>
      <c r="K24" s="1192"/>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91" t="str">
        <f ca="1">HYPERLINK("#"&amp;S25,INDIRECT(S25))</f>
        <v>PFC (perfluorocarbon) emissions</v>
      </c>
      <c r="F25" s="1192"/>
      <c r="G25" s="1192"/>
      <c r="H25" s="1192"/>
      <c r="I25" s="1192"/>
      <c r="J25" s="1192"/>
      <c r="K25" s="1192"/>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91" t="str">
        <f ca="1">HYPERLINK("#"&amp;S26,INDIRECT(S26))</f>
        <v>Measurement-Based Approaches: Emissions Sources</v>
      </c>
      <c r="F26" s="1192"/>
      <c r="G26" s="1192"/>
      <c r="H26" s="1192"/>
      <c r="I26" s="1192"/>
      <c r="J26" s="1192"/>
      <c r="K26" s="1192"/>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5" t="str">
        <f ca="1">HYPERLINK("#"&amp;S28,INDIRECT(S28))</f>
        <v>Sheet "C_Emissions&amp;Energy" - Installation-level GHG emissions and energy consumption</v>
      </c>
      <c r="E28" s="1195"/>
      <c r="F28" s="1195"/>
      <c r="G28" s="1195"/>
      <c r="H28" s="1195"/>
      <c r="I28" s="1195"/>
      <c r="J28" s="1195"/>
      <c r="K28" s="1195"/>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91" t="str">
        <f ca="1">HYPERLINK("#"&amp;S29,INDIRECT(S29))</f>
        <v>Fuel balance</v>
      </c>
      <c r="F29" s="1192"/>
      <c r="G29" s="1192"/>
      <c r="H29" s="1192"/>
      <c r="I29" s="1192"/>
      <c r="J29" s="1192"/>
      <c r="K29" s="1192"/>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91" t="str">
        <f ca="1">HYPERLINK("#"&amp;S30,INDIRECT(S30))</f>
        <v>Greenhouse gas emissions balance &amp; information on data quality</v>
      </c>
      <c r="F30" s="1192"/>
      <c r="G30" s="1192"/>
      <c r="H30" s="1192"/>
      <c r="I30" s="1192"/>
      <c r="J30" s="1192"/>
      <c r="K30" s="1192"/>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5" t="str">
        <f ca="1">HYPERLINK("#"&amp;S32,INDIRECT(S32))</f>
        <v>Sheet "D_Processes" - Production level and attributed emissions for SEE calculation</v>
      </c>
      <c r="E32" s="1192"/>
      <c r="F32" s="1192"/>
      <c r="G32" s="1192"/>
      <c r="H32" s="1192"/>
      <c r="I32" s="1192"/>
      <c r="J32" s="1192"/>
      <c r="K32" s="1192"/>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91" t="str">
        <f ca="1">HYPERLINK("#"&amp;S33,INDIRECT(S33))</f>
        <v>Data input for the determination of the specific embedded emissions</v>
      </c>
      <c r="F33" s="1192"/>
      <c r="G33" s="1192"/>
      <c r="H33" s="1192"/>
      <c r="I33" s="1192"/>
      <c r="J33" s="1192"/>
      <c r="K33" s="1192"/>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5" t="str">
        <f ca="1">HYPERLINK("#"&amp;S35,INDIRECT(S35))</f>
        <v>Sheet "E_PurchPrec" - Purchased precursors for SEE calculation</v>
      </c>
      <c r="E35" s="1192"/>
      <c r="F35" s="1192"/>
      <c r="G35" s="1192"/>
      <c r="H35" s="1192"/>
      <c r="I35" s="1192"/>
      <c r="J35" s="1192"/>
      <c r="K35" s="1192"/>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91" t="str">
        <f ca="1">HYPERLINK("#"&amp;S36,INDIRECT(S36))</f>
        <v>Data input for the determination of the specific embedded emissions</v>
      </c>
      <c r="F36" s="1192"/>
      <c r="G36" s="1192"/>
      <c r="H36" s="1192"/>
      <c r="I36" s="1192"/>
      <c r="J36" s="1192"/>
      <c r="K36" s="1192"/>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5" t="str">
        <f ca="1">HYPERLINK("#"&amp;S38,INDIRECT(S38))</f>
        <v>Sheet "F_Tools" - Tools for facilitating reporting</v>
      </c>
      <c r="E38" s="1192"/>
      <c r="F38" s="1192"/>
      <c r="G38" s="1192"/>
      <c r="H38" s="1192"/>
      <c r="I38" s="1192"/>
      <c r="J38" s="1192"/>
      <c r="K38" s="1192"/>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91" t="str">
        <f ca="1">HYPERLINK("#"&amp;S39,INDIRECT(S39))</f>
        <v>Cogeneration Tool</v>
      </c>
      <c r="F39" s="1192"/>
      <c r="G39" s="1192"/>
      <c r="H39" s="1192"/>
      <c r="I39" s="1192"/>
      <c r="J39" s="1192"/>
      <c r="K39" s="1192"/>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91" t="str">
        <f ca="1">HYPERLINK("#"&amp;S40,INDIRECT(S40))</f>
        <v>Tool to calculate the carbon price due</v>
      </c>
      <c r="F40" s="1192"/>
      <c r="G40" s="1192"/>
      <c r="H40" s="1192"/>
      <c r="I40" s="1192"/>
      <c r="J40" s="1192"/>
      <c r="K40" s="1192"/>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5" t="str">
        <f ca="1">HYPERLINK("#"&amp;S42,INDIRECT(S42))</f>
        <v>Sheet "G_FurtherGuidance" - Further guidance on specific sections in this template</v>
      </c>
      <c r="E42" s="1192"/>
      <c r="F42" s="1192"/>
      <c r="G42" s="1192"/>
      <c r="H42" s="1192"/>
      <c r="I42" s="1192"/>
      <c r="J42" s="1192"/>
      <c r="K42" s="1192"/>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91" t="str">
        <f ca="1">HYPERLINK("#"&amp;S43,INDIRECT(S43))</f>
        <v>General guidance</v>
      </c>
      <c r="F43" s="1192"/>
      <c r="G43" s="1192"/>
      <c r="H43" s="1192"/>
      <c r="I43" s="1192"/>
      <c r="J43" s="1192"/>
      <c r="K43" s="1192"/>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91" t="str">
        <f ca="1">HYPERLINK("#"&amp;S44,INDIRECT(S44))</f>
        <v>Source streams and emission sources</v>
      </c>
      <c r="F44" s="1192"/>
      <c r="G44" s="1192"/>
      <c r="H44" s="1192"/>
      <c r="I44" s="1192"/>
      <c r="J44" s="1192"/>
      <c r="K44" s="1192"/>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91" t="str">
        <f ca="1">HYPERLINK("#"&amp;S45,INDIRECT(S45))</f>
        <v>Attribution of emissions to production processes</v>
      </c>
      <c r="F45" s="1192"/>
      <c r="G45" s="1192"/>
      <c r="H45" s="1192"/>
      <c r="I45" s="1192"/>
      <c r="J45" s="1192"/>
      <c r="K45" s="1192"/>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91" t="str">
        <f ca="1">HYPERLINK("#"&amp;S46,INDIRECT(S46))</f>
        <v>Data input for the determination of the specific embedded emissions</v>
      </c>
      <c r="F46" s="1192"/>
      <c r="G46" s="1192"/>
      <c r="H46" s="1192"/>
      <c r="I46" s="1192"/>
      <c r="J46" s="1192"/>
      <c r="K46" s="1192"/>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91" t="str">
        <f ca="1">HYPERLINK("#"&amp;S47,INDIRECT(S47))</f>
        <v>Summary of products</v>
      </c>
      <c r="F47" s="1192"/>
      <c r="G47" s="1192"/>
      <c r="H47" s="1192"/>
      <c r="I47" s="1192"/>
      <c r="J47" s="1192"/>
      <c r="K47" s="1192"/>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3">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3">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Cement Producer</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75" t="str">
        <f>Translations!$B$22</f>
        <v>Guidelines &amp; Conditions</v>
      </c>
      <c r="C2" s="1176"/>
      <c r="D2" s="1177"/>
      <c r="E2" s="1184" t="str">
        <f>Translations!$B$11</f>
        <v>Navigation Area:</v>
      </c>
      <c r="F2" s="1185"/>
      <c r="G2" s="1189" t="str">
        <f ca="1">HYPERLINK("#"&amp;ADDRESS(2,3,,,a_Contents!$U$2),a_Contents!$B$2)</f>
        <v>Table of contents</v>
      </c>
      <c r="H2" s="1190"/>
      <c r="I2" s="1189" t="str">
        <f ca="1">HYPERLINK("#"&amp;ADDRESS(2,3,,,G_FurtherGuidance!$U$2),G_FurtherGuidance!$B$2)</f>
        <v>Further Guidance</v>
      </c>
      <c r="J2" s="1190"/>
      <c r="K2" s="1189" t="str">
        <f ca="1">HYPERLINK("#"&amp;ADDRESS(2,3,,,Summary_Processes!$Y$2),Summary_Processes!$Y$2)</f>
        <v>Summary_Processes</v>
      </c>
      <c r="L2" s="1190"/>
      <c r="M2" s="1189" t="str">
        <f ca="1">HYPERLINK("#"&amp;ADDRESS(2,3,,,Summary_Products!$BF$2),Summary_Products!$BF$2)</f>
        <v>Summary_Products</v>
      </c>
      <c r="N2" s="1190"/>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78"/>
      <c r="C3" s="1179"/>
      <c r="D3" s="1180"/>
      <c r="E3" s="1171"/>
      <c r="F3" s="1171"/>
      <c r="G3" s="1212" t="str">
        <f>IFERROR(HYPERLINK("#"&amp;ADDRESS(ROW($A$1)+MATCH(R3,$A:$A,0)-1,COLUMN($A$1)),INDEX($R:$R,MATCH(R3,$A:$A,0))),"")</f>
        <v>General information</v>
      </c>
      <c r="H3" s="1212"/>
      <c r="I3" s="1212" t="str">
        <f>IFERROR(HYPERLINK("#"&amp;ADDRESS(ROW($A$1)+MATCH(T3,$A:$A,0)-1,COLUMN($A$1)),INDEX($R:$R,MATCH(T3,$A:$A,0))),"")</f>
        <v>How to use this file</v>
      </c>
      <c r="J3" s="1212"/>
      <c r="K3" s="1212"/>
      <c r="L3" s="1212"/>
      <c r="M3" s="1212"/>
      <c r="N3" s="1212"/>
      <c r="O3" s="428"/>
      <c r="P3" s="144"/>
      <c r="Q3" s="144"/>
      <c r="R3" s="437">
        <v>1</v>
      </c>
      <c r="S3" s="438"/>
      <c r="T3" s="438">
        <v>2</v>
      </c>
      <c r="U3" s="1126"/>
    </row>
    <row r="4" spans="1:21" ht="14.1" customHeight="1" thickBot="1" x14ac:dyDescent="0.35">
      <c r="A4" s="92"/>
      <c r="B4" s="1181"/>
      <c r="C4" s="1182"/>
      <c r="D4" s="1183"/>
      <c r="E4" s="1171"/>
      <c r="F4" s="1171"/>
      <c r="G4" s="1212"/>
      <c r="H4" s="1212"/>
      <c r="I4" s="1212"/>
      <c r="J4" s="1212"/>
      <c r="K4" s="1212"/>
      <c r="L4" s="1212"/>
      <c r="M4" s="1212"/>
      <c r="N4" s="1212"/>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2"/>
      <c r="E10" s="1202"/>
      <c r="F10" s="1202"/>
      <c r="G10" s="1202"/>
      <c r="H10" s="1202"/>
      <c r="I10" s="1202"/>
      <c r="J10" s="1202"/>
      <c r="K10" s="1202"/>
      <c r="L10" s="1202"/>
      <c r="M10" s="1202"/>
      <c r="N10" s="1202"/>
      <c r="O10" s="428"/>
      <c r="P10" s="144"/>
      <c r="Q10" s="144"/>
      <c r="R10" s="171"/>
      <c r="S10" s="171"/>
      <c r="T10" s="171"/>
      <c r="U10" s="427"/>
    </row>
    <row r="11" spans="1:21" ht="13.2" customHeight="1" x14ac:dyDescent="0.3">
      <c r="A11" s="92"/>
      <c r="B11" s="1129"/>
      <c r="C11" s="1214" t="str">
        <f>HYPERLINK(Translations!$B$27,Translations!$B$27)</f>
        <v>https://eur-lex.europa.eu/eli/reg/2023/956/oj</v>
      </c>
      <c r="D11" s="1169"/>
      <c r="E11" s="1169"/>
      <c r="F11" s="1169"/>
      <c r="G11" s="1169"/>
      <c r="H11" s="1169"/>
      <c r="I11" s="1169"/>
      <c r="J11" s="1169"/>
      <c r="K11" s="1169"/>
      <c r="L11" s="1169"/>
      <c r="M11" s="1169"/>
      <c r="N11" s="1169"/>
      <c r="O11" s="428"/>
      <c r="P11" s="144"/>
      <c r="Q11" s="144"/>
      <c r="R11" s="171"/>
      <c r="S11" s="171"/>
      <c r="T11" s="171"/>
      <c r="U11" s="427"/>
    </row>
    <row r="12" spans="1:21" ht="39.6" customHeight="1" x14ac:dyDescent="0.3">
      <c r="A12" s="92"/>
      <c r="B12" s="1129">
        <v>2</v>
      </c>
      <c r="C12" s="1202"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2"/>
      <c r="E12" s="1202"/>
      <c r="F12" s="1202"/>
      <c r="G12" s="1202"/>
      <c r="H12" s="1202"/>
      <c r="I12" s="1202"/>
      <c r="J12" s="1202"/>
      <c r="K12" s="1202"/>
      <c r="L12" s="1202"/>
      <c r="M12" s="1202"/>
      <c r="N12" s="1202"/>
      <c r="O12" s="428"/>
      <c r="P12" s="144"/>
      <c r="Q12" s="144"/>
      <c r="R12" s="171"/>
      <c r="S12" s="171"/>
      <c r="T12" s="171"/>
      <c r="U12" s="427"/>
    </row>
    <row r="13" spans="1:21" ht="13.2" customHeight="1" x14ac:dyDescent="0.3">
      <c r="A13" s="92"/>
      <c r="B13" s="1129"/>
      <c r="C13" s="1214" t="str">
        <f>HYPERLINK(Translations!$B$1916,Translations!$B$1916)</f>
        <v>http://data.europa.eu/eli/reg_impl/2023/1773/oj</v>
      </c>
      <c r="D13" s="1169"/>
      <c r="E13" s="1169"/>
      <c r="F13" s="1169"/>
      <c r="G13" s="1169"/>
      <c r="H13" s="1169"/>
      <c r="I13" s="1169"/>
      <c r="J13" s="1169"/>
      <c r="K13" s="1169"/>
      <c r="L13" s="1169"/>
      <c r="M13" s="1169"/>
      <c r="N13" s="1169"/>
      <c r="O13" s="428"/>
      <c r="P13" s="144"/>
      <c r="Q13" s="144"/>
      <c r="R13" s="171"/>
      <c r="S13" s="171"/>
      <c r="T13" s="171"/>
      <c r="U13" s="427"/>
    </row>
    <row r="14" spans="1:21" ht="39.6" customHeight="1" x14ac:dyDescent="0.3">
      <c r="A14" s="92"/>
      <c r="B14" s="1129">
        <v>3</v>
      </c>
      <c r="C14" s="120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2"/>
      <c r="E14" s="1202"/>
      <c r="F14" s="1202"/>
      <c r="G14" s="1202"/>
      <c r="H14" s="1202"/>
      <c r="I14" s="1202"/>
      <c r="J14" s="1202"/>
      <c r="K14" s="1202"/>
      <c r="L14" s="1202"/>
      <c r="M14" s="1202"/>
      <c r="N14" s="1202"/>
      <c r="O14" s="428"/>
      <c r="P14" s="144"/>
      <c r="Q14" s="144"/>
      <c r="R14" s="171"/>
      <c r="S14" s="171"/>
      <c r="T14" s="171"/>
      <c r="U14" s="427"/>
    </row>
    <row r="15" spans="1:21" ht="26.4" customHeight="1" x14ac:dyDescent="0.3">
      <c r="A15" s="92"/>
      <c r="B15" s="1129">
        <v>4</v>
      </c>
      <c r="C15" s="120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2"/>
      <c r="E15" s="1202"/>
      <c r="F15" s="1202"/>
      <c r="G15" s="1202"/>
      <c r="H15" s="1202"/>
      <c r="I15" s="1202"/>
      <c r="J15" s="1202"/>
      <c r="K15" s="1202"/>
      <c r="L15" s="1202"/>
      <c r="M15" s="1202"/>
      <c r="N15" s="1202"/>
      <c r="O15" s="428"/>
      <c r="P15" s="144"/>
      <c r="Q15" s="144"/>
      <c r="R15" s="171"/>
      <c r="S15" s="171"/>
      <c r="T15" s="171"/>
      <c r="U15" s="427"/>
    </row>
    <row r="16" spans="1:21" ht="13.2" customHeight="1" x14ac:dyDescent="0.3">
      <c r="A16" s="92"/>
      <c r="B16" s="1129"/>
      <c r="C16" s="1202" t="str">
        <f>Translations!$B$32</f>
        <v xml:space="preserve">The views expressed in this file represent the views of the authors and not necessarily those of the European Commission. </v>
      </c>
      <c r="D16" s="1202"/>
      <c r="E16" s="1202"/>
      <c r="F16" s="1202"/>
      <c r="G16" s="1202"/>
      <c r="H16" s="1202"/>
      <c r="I16" s="1202"/>
      <c r="J16" s="1202"/>
      <c r="K16" s="1202"/>
      <c r="L16" s="1202"/>
      <c r="M16" s="1202"/>
      <c r="N16" s="1202"/>
      <c r="O16" s="428"/>
      <c r="P16" s="144"/>
      <c r="Q16" s="144"/>
      <c r="R16" s="171"/>
      <c r="S16" s="171"/>
      <c r="T16" s="171"/>
      <c r="U16" s="427"/>
    </row>
    <row r="17" spans="1:21" ht="26.4" customHeight="1" x14ac:dyDescent="0.3">
      <c r="A17" s="92"/>
      <c r="B17" s="1130">
        <v>5</v>
      </c>
      <c r="C17" s="1213" t="str">
        <f>Translations!$B$1917</f>
        <v>This is the published version 2.1 of the CBAM template, version of 14 May 2024.</v>
      </c>
      <c r="D17" s="1213"/>
      <c r="E17" s="1213"/>
      <c r="F17" s="1213"/>
      <c r="G17" s="1213"/>
      <c r="H17" s="1213"/>
      <c r="I17" s="1213"/>
      <c r="J17" s="1213"/>
      <c r="K17" s="1213"/>
      <c r="L17" s="1213"/>
      <c r="M17" s="1213"/>
      <c r="N17" s="1213"/>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2" t="str">
        <f>Translations!$B$35</f>
        <v>Automatic calculation (to be found in the menu Formula/Calculation options) must be turned on.</v>
      </c>
      <c r="D21" s="1202"/>
      <c r="E21" s="1202"/>
      <c r="F21" s="1202"/>
      <c r="G21" s="1202"/>
      <c r="H21" s="1202"/>
      <c r="I21" s="1202"/>
      <c r="J21" s="1202"/>
      <c r="K21" s="1202"/>
      <c r="L21" s="1202"/>
      <c r="M21" s="1202"/>
      <c r="N21" s="1202"/>
      <c r="O21" s="428"/>
      <c r="P21" s="144"/>
      <c r="Q21" s="144"/>
      <c r="R21" s="171"/>
      <c r="S21" s="171"/>
      <c r="T21" s="171"/>
      <c r="U21" s="427"/>
    </row>
    <row r="22" spans="1:21" ht="26.4" customHeight="1" x14ac:dyDescent="0.3">
      <c r="A22" s="92"/>
      <c r="B22" s="1129"/>
      <c r="C22" s="1202" t="str">
        <f>Translations!$B$36</f>
        <v>It is recommended that you go through the file from start to end. There are a few functions which will guide you through the form which depend on previous input, such as cells changing colour if an input is not needed (see colour codes below).</v>
      </c>
      <c r="D22" s="1202"/>
      <c r="E22" s="1202"/>
      <c r="F22" s="1202"/>
      <c r="G22" s="1202"/>
      <c r="H22" s="1202"/>
      <c r="I22" s="1202"/>
      <c r="J22" s="1202"/>
      <c r="K22" s="1202"/>
      <c r="L22" s="1202"/>
      <c r="M22" s="1202"/>
      <c r="N22" s="1202"/>
      <c r="O22" s="428"/>
      <c r="P22" s="144"/>
      <c r="Q22" s="144"/>
      <c r="R22" s="171"/>
      <c r="S22" s="171"/>
      <c r="T22" s="171"/>
      <c r="U22" s="427"/>
    </row>
    <row r="23" spans="1:21" ht="39.6" customHeight="1" x14ac:dyDescent="0.3">
      <c r="A23" s="92"/>
      <c r="B23" s="1129">
        <v>7</v>
      </c>
      <c r="C23" s="1202"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2"/>
      <c r="E23" s="1202"/>
      <c r="F23" s="1202"/>
      <c r="G23" s="1202"/>
      <c r="H23" s="1202"/>
      <c r="I23" s="1202"/>
      <c r="J23" s="1202"/>
      <c r="K23" s="1202"/>
      <c r="L23" s="1202"/>
      <c r="M23" s="1202"/>
      <c r="N23" s="1202"/>
      <c r="O23" s="428"/>
      <c r="P23" s="144"/>
      <c r="Q23" s="144"/>
      <c r="R23" s="171"/>
      <c r="S23" s="171"/>
      <c r="T23" s="171"/>
      <c r="U23" s="427"/>
    </row>
    <row r="24" spans="1:21" ht="39.6" customHeight="1" x14ac:dyDescent="0.3">
      <c r="A24" s="92"/>
      <c r="B24" s="1129">
        <v>8</v>
      </c>
      <c r="C24" s="120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2"/>
      <c r="E24" s="1202"/>
      <c r="F24" s="1202"/>
      <c r="G24" s="1202"/>
      <c r="H24" s="1202"/>
      <c r="I24" s="1202"/>
      <c r="J24" s="1202"/>
      <c r="K24" s="1202"/>
      <c r="L24" s="1202"/>
      <c r="M24" s="1202"/>
      <c r="N24" s="1202"/>
      <c r="O24" s="428"/>
      <c r="P24" s="144"/>
      <c r="Q24" s="144"/>
      <c r="R24" s="171"/>
      <c r="S24" s="171"/>
      <c r="T24" s="171"/>
      <c r="U24" s="427"/>
    </row>
    <row r="25" spans="1:21" ht="26.4" customHeight="1" x14ac:dyDescent="0.3">
      <c r="A25" s="92"/>
      <c r="B25" s="1129">
        <v>9</v>
      </c>
      <c r="C25" s="120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2"/>
      <c r="E25" s="1202"/>
      <c r="F25" s="1202"/>
      <c r="G25" s="1202"/>
      <c r="H25" s="1202"/>
      <c r="I25" s="1202"/>
      <c r="J25" s="1202"/>
      <c r="K25" s="1202"/>
      <c r="L25" s="1202"/>
      <c r="M25" s="1202"/>
      <c r="N25" s="1202"/>
      <c r="O25" s="428"/>
      <c r="P25" s="144"/>
      <c r="Q25" s="144"/>
      <c r="R25" s="171"/>
      <c r="S25" s="171"/>
      <c r="T25" s="171"/>
      <c r="U25" s="427"/>
    </row>
    <row r="26" spans="1:21" ht="13.2" customHeight="1" x14ac:dyDescent="0.3">
      <c r="A26" s="92"/>
      <c r="B26" s="1129"/>
      <c r="C26" s="1202" t="str">
        <f>Translations!$B$1919</f>
        <v>Special care must be taken to ensure consistency of data with the units displayed.</v>
      </c>
      <c r="D26" s="1202"/>
      <c r="E26" s="1202"/>
      <c r="F26" s="1202"/>
      <c r="G26" s="1202"/>
      <c r="H26" s="1202"/>
      <c r="I26" s="1202"/>
      <c r="J26" s="1202"/>
      <c r="K26" s="1202"/>
      <c r="L26" s="1202"/>
      <c r="M26" s="1202"/>
      <c r="N26" s="1202"/>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215" t="str">
        <f>Translations!$B$42</f>
        <v>Black bold text:</v>
      </c>
      <c r="E29" s="1169"/>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216" t="str">
        <f>Translations!$B$44</f>
        <v>Smaller italic text:</v>
      </c>
      <c r="E30" s="1217"/>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01"/>
      <c r="E35" s="1201"/>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199" t="str">
        <f>Translations!$B$52</f>
        <v>White indicates that data entry is not required here, based on entries in another field making inputs here irrelevant (see 'shaded fields' above).</v>
      </c>
      <c r="F38" s="1200"/>
      <c r="G38" s="1200"/>
      <c r="H38" s="1200"/>
      <c r="I38" s="1200"/>
      <c r="J38" s="1200"/>
      <c r="K38" s="1200"/>
      <c r="L38" s="1200"/>
      <c r="M38" s="1200"/>
      <c r="N38" s="1200"/>
      <c r="O38" s="428"/>
      <c r="P38" s="144"/>
      <c r="Q38" s="144"/>
      <c r="R38" s="171"/>
      <c r="S38" s="171"/>
      <c r="T38" s="171"/>
      <c r="U38" s="427"/>
    </row>
    <row r="39" spans="1:21" ht="13.2" customHeight="1" x14ac:dyDescent="0.3">
      <c r="A39" s="92"/>
      <c r="B39" s="1129"/>
      <c r="C39" s="1131"/>
      <c r="D39" s="435"/>
      <c r="E39" s="1199" t="str">
        <f>Translations!$B$53</f>
        <v>Red colour indicates data inputs are required but the relevant cells are empty or filled incorrectly.</v>
      </c>
      <c r="F39" s="1200"/>
      <c r="G39" s="1200"/>
      <c r="H39" s="1200"/>
      <c r="I39" s="1200"/>
      <c r="J39" s="1200"/>
      <c r="K39" s="1200"/>
      <c r="L39" s="1200"/>
      <c r="M39" s="1200"/>
      <c r="N39" s="1200"/>
      <c r="O39" s="428"/>
      <c r="P39" s="144"/>
      <c r="Q39" s="144"/>
      <c r="R39" s="171"/>
      <c r="S39" s="171"/>
      <c r="T39" s="171"/>
      <c r="U39" s="427"/>
    </row>
    <row r="40" spans="1:21" ht="13.2" customHeight="1" x14ac:dyDescent="0.3">
      <c r="A40" s="92"/>
      <c r="B40" s="1129"/>
      <c r="C40" s="1131"/>
      <c r="D40" s="434"/>
      <c r="E40" s="1199" t="str">
        <f>Translations!$B$54</f>
        <v>Green colour indicates data inputs are required and cells have been filled correctly.</v>
      </c>
      <c r="F40" s="1200"/>
      <c r="G40" s="1200"/>
      <c r="H40" s="1200"/>
      <c r="I40" s="1200"/>
      <c r="J40" s="1200"/>
      <c r="K40" s="1200"/>
      <c r="L40" s="1200"/>
      <c r="M40" s="1200"/>
      <c r="N40" s="1200"/>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2"/>
      <c r="E42" s="1202"/>
      <c r="F42" s="1202"/>
      <c r="G42" s="1202"/>
      <c r="H42" s="1202"/>
      <c r="I42" s="1202"/>
      <c r="J42" s="1202"/>
      <c r="K42" s="1202"/>
      <c r="L42" s="1202"/>
      <c r="M42" s="1202"/>
      <c r="N42" s="1202"/>
      <c r="O42" s="428"/>
      <c r="P42" s="144"/>
      <c r="Q42" s="144"/>
      <c r="R42" s="171"/>
      <c r="S42" s="171"/>
      <c r="T42" s="171"/>
      <c r="U42" s="427"/>
    </row>
    <row r="43" spans="1:21" ht="39.6" customHeight="1" x14ac:dyDescent="0.3">
      <c r="A43" s="92"/>
      <c r="B43" s="1129">
        <v>12</v>
      </c>
      <c r="C43" s="120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2"/>
      <c r="E43" s="1202"/>
      <c r="F43" s="1202"/>
      <c r="G43" s="1202"/>
      <c r="H43" s="1202"/>
      <c r="I43" s="1202"/>
      <c r="J43" s="1202"/>
      <c r="K43" s="1202"/>
      <c r="L43" s="1202"/>
      <c r="M43" s="1202"/>
      <c r="N43" s="1202"/>
      <c r="O43" s="428"/>
      <c r="P43" s="144"/>
      <c r="Q43" s="144"/>
      <c r="R43" s="171"/>
      <c r="S43" s="171"/>
      <c r="T43" s="171"/>
      <c r="U43" s="427"/>
    </row>
    <row r="44" spans="1:21" ht="26.4" customHeight="1" x14ac:dyDescent="0.3">
      <c r="A44" s="92"/>
      <c r="B44" s="1129">
        <v>13</v>
      </c>
      <c r="C44" s="120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03"/>
      <c r="E44" s="1203"/>
      <c r="F44" s="1203"/>
      <c r="G44" s="1203"/>
      <c r="H44" s="1203"/>
      <c r="I44" s="1203"/>
      <c r="J44" s="1203"/>
      <c r="K44" s="1203"/>
      <c r="L44" s="1203"/>
      <c r="M44" s="1203"/>
      <c r="N44" s="1203"/>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197"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98"/>
      <c r="E46" s="1198"/>
      <c r="F46" s="1198"/>
      <c r="G46" s="1198"/>
      <c r="H46" s="1198"/>
      <c r="I46" s="1198"/>
      <c r="J46" s="1198"/>
      <c r="K46" s="1198"/>
      <c r="L46" s="1198"/>
      <c r="M46" s="1198"/>
      <c r="N46" s="1198"/>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214" t="str">
        <f>HYPERLINK(Translations!$B$61,Translations!$B$61)</f>
        <v>https://taxation-customs.ec.europa.eu/carbon-border-adjustment-mechanism_en</v>
      </c>
      <c r="G49" s="1169"/>
      <c r="H49" s="1169"/>
      <c r="I49" s="1169"/>
      <c r="J49" s="1169"/>
      <c r="K49" s="1169"/>
      <c r="L49" s="1169"/>
      <c r="M49" s="1169"/>
      <c r="N49" s="1169"/>
      <c r="O49" s="428"/>
      <c r="P49" s="144"/>
      <c r="Q49" s="144"/>
      <c r="R49" s="171"/>
      <c r="S49" s="171"/>
      <c r="T49" s="171"/>
      <c r="U49" s="427"/>
    </row>
    <row r="50" spans="1:21" ht="13.2" customHeight="1" x14ac:dyDescent="0.3">
      <c r="A50" s="92"/>
      <c r="B50" s="94"/>
      <c r="C50" s="1137" t="str">
        <f>Translations!$B$62</f>
        <v>EU-Legislation:</v>
      </c>
      <c r="D50" s="144"/>
      <c r="E50" s="144"/>
      <c r="F50" s="1214" t="str">
        <f>HYPERLINK(Translations!$B$63,Translations!$B$63)</f>
        <v>http://eur-lex.europa.eu/en/index.htm</v>
      </c>
      <c r="G50" s="1169"/>
      <c r="H50" s="1169"/>
      <c r="I50" s="1169"/>
      <c r="J50" s="1169"/>
      <c r="K50" s="1169"/>
      <c r="L50" s="1169"/>
      <c r="M50" s="1169"/>
      <c r="N50" s="1169"/>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555"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75" t="str">
        <f>Translations!$B$1438</f>
        <v>Code Lists</v>
      </c>
      <c r="C2" s="1176"/>
      <c r="D2" s="1177"/>
      <c r="E2" s="1184" t="str">
        <f>Translations!$B$11</f>
        <v>Navigation Area:</v>
      </c>
      <c r="F2" s="1185"/>
      <c r="G2" s="1189" t="str">
        <f ca="1">HYPERLINK("#"&amp;ADDRESS(2,3,,,a_Contents!$U$2),a_Contents!$B$2)</f>
        <v>Table of contents</v>
      </c>
      <c r="H2" s="1190"/>
      <c r="I2" s="1189" t="str">
        <f ca="1">HYPERLINK("#"&amp;ADDRESS(2,3,,,G_FurtherGuidance!$U$2),G_FurtherGuidance!$B$2)</f>
        <v>Further Guidance</v>
      </c>
      <c r="J2" s="1190"/>
      <c r="K2" s="1189" t="str">
        <f ca="1">HYPERLINK("#"&amp;ADDRESS(2,3,,,Summary_Processes!$Y$2),Summary_Processes!$Y$2)</f>
        <v>Summary_Processes</v>
      </c>
      <c r="L2" s="1190"/>
      <c r="M2" s="1189" t="str">
        <f ca="1">HYPERLINK("#"&amp;ADDRESS(2,3,,,Summary_Products!$BF$2),Summary_Products!$BF$2)</f>
        <v>Summary_Products</v>
      </c>
      <c r="N2" s="1190"/>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78"/>
      <c r="C3" s="1179"/>
      <c r="D3" s="1180"/>
      <c r="E3" s="1171"/>
      <c r="F3" s="1171"/>
      <c r="G3" s="1212" t="str">
        <f>IFERROR(HYPERLINK("#"&amp;ADDRESS(ROW($A$1)+MATCH(R3,$A:$A,0)-1,3),INDEX($R:$R,MATCH(R3,$A:$A,0))),"")</f>
        <v>Countries &amp; Currencies</v>
      </c>
      <c r="H3" s="1212"/>
      <c r="I3" s="1212" t="str">
        <f>IFERROR(HYPERLINK("#"&amp;ADDRESS(ROW($A$1)+MATCH(T3,$A:$A,0)-1,3),INDEX($R:$R,MATCH(T3,$A:$A,0))),"")</f>
        <v>CN Codes</v>
      </c>
      <c r="J3" s="1212"/>
      <c r="K3" s="1212"/>
      <c r="L3" s="1212"/>
      <c r="M3" s="1212"/>
      <c r="N3" s="1212"/>
      <c r="O3" s="428"/>
      <c r="R3" s="302">
        <v>1</v>
      </c>
      <c r="S3" s="303"/>
      <c r="T3" s="303">
        <v>2</v>
      </c>
      <c r="U3" s="303"/>
      <c r="V3" s="303"/>
      <c r="W3" s="303"/>
      <c r="X3" s="304"/>
    </row>
    <row r="4" spans="1:24" ht="14.1" customHeight="1" thickBot="1" x14ac:dyDescent="0.35">
      <c r="A4" s="92"/>
      <c r="B4" s="1181"/>
      <c r="C4" s="1182"/>
      <c r="D4" s="1183"/>
      <c r="E4" s="1171"/>
      <c r="F4" s="1171"/>
      <c r="G4" s="1212"/>
      <c r="H4" s="1212"/>
      <c r="I4" s="1212"/>
      <c r="J4" s="1212"/>
      <c r="K4" s="1212"/>
      <c r="L4" s="1212"/>
      <c r="M4" s="1212"/>
      <c r="N4" s="1212"/>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2" customHeight="1" x14ac:dyDescent="0.25">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topLeftCell="B1"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75" t="str">
        <f>Translations!$B$64</f>
        <v>InstData</v>
      </c>
      <c r="C2" s="1176"/>
      <c r="D2" s="1177"/>
      <c r="E2" s="1184" t="str">
        <f>Translations!$B$11</f>
        <v>Navigation Area:</v>
      </c>
      <c r="F2" s="1185"/>
      <c r="G2" s="1186" t="str">
        <f ca="1">HYPERLINK("#"&amp;ADDRESS(2,3,,,a_Contents!$U$2),a_Contents!$B$2)</f>
        <v>Table of contents</v>
      </c>
      <c r="H2" s="1187"/>
      <c r="I2" s="1186" t="str">
        <f ca="1">HYPERLINK("#"&amp;ADDRESS(2,3,,,G_FurtherGuidance!$U$2),G_FurtherGuidance!$B$2)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78"/>
      <c r="C3" s="1179"/>
      <c r="D3" s="1180"/>
      <c r="E3" s="1171"/>
      <c r="F3" s="1171"/>
      <c r="G3" s="1272" t="str">
        <f>IFERROR(HYPERLINK("#"&amp;ADDRESS(ROW($A$1)+MATCH(R3,$A:$A,0)-1,3),INDEX($R:$R,MATCH(R3,$A:$A,0))),"")</f>
        <v>Reporting period</v>
      </c>
      <c r="H3" s="1171"/>
      <c r="I3" s="1171" t="str">
        <f>IFERROR(HYPERLINK("#"&amp;ADDRESS(ROW($A$1)+MATCH(T3,$A:$A,0)-1,3),INDEX($R:$R,MATCH(T3,$A:$A,0))),"")</f>
        <v>About the installation</v>
      </c>
      <c r="J3" s="1171"/>
      <c r="K3" s="1171" t="str">
        <f>IFERROR(HYPERLINK("#"&amp;ADDRESS(ROW($A$1)+MATCH(V3,$A:$A,0)-1,3),INDEX($R:$R,MATCH(V3,$A:$A,0))),"")</f>
        <v>Verifier</v>
      </c>
      <c r="L3" s="1171"/>
      <c r="M3" s="1171" t="str">
        <f>IFERROR(HYPERLINK("#"&amp;ADDRESS(ROW($A$1)+MATCH(X3,$A:$A,0)-1,3),INDEX($R:$R,MATCH(X3,$A:$A,0))),"")</f>
        <v>Goods &amp; precursors</v>
      </c>
      <c r="N3" s="1171"/>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81"/>
      <c r="C4" s="1182"/>
      <c r="D4" s="1183"/>
      <c r="E4" s="1171"/>
      <c r="F4" s="1171"/>
      <c r="G4" s="1171" t="str">
        <f>IFERROR(HYPERLINK("#"&amp;ADDRESS(ROW($A$1)+MATCH(R4,$A:$A,0)-1,3),INDEX($R:$R,MATCH(R4,$A:$A,0))),"")</f>
        <v>Purchased precursors</v>
      </c>
      <c r="H4" s="1171"/>
      <c r="I4" s="1171"/>
      <c r="J4" s="1171"/>
      <c r="K4" s="1171"/>
      <c r="L4" s="1171"/>
      <c r="M4" s="1171"/>
      <c r="N4" s="1171"/>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73">
        <v>44927</v>
      </c>
      <c r="J9" s="1273"/>
      <c r="K9" s="911" t="str">
        <f>Translations!$B$69</f>
        <v>End:</v>
      </c>
      <c r="L9" s="1273">
        <v>45291</v>
      </c>
      <c r="M9" s="1273"/>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74"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74"/>
      <c r="G13" s="1274"/>
      <c r="H13" s="1274"/>
      <c r="I13" s="1274"/>
      <c r="J13" s="1274"/>
      <c r="K13" s="1274"/>
      <c r="L13" s="1274"/>
      <c r="M13" s="1274"/>
      <c r="N13" s="1274"/>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79" t="str">
        <f>Translations!$B$71</f>
        <v>It is important that all data entered in this template (embedded emissions, carbon price due, product properties, etc.) all relate to that same reporting period entered above.</v>
      </c>
      <c r="F14" s="1279"/>
      <c r="G14" s="1279"/>
      <c r="H14" s="1279"/>
      <c r="I14" s="1279"/>
      <c r="J14" s="1279"/>
      <c r="K14" s="1279"/>
      <c r="L14" s="1279"/>
      <c r="M14" s="1279"/>
      <c r="N14" s="1279"/>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21" t="str">
        <f>Translations!$B$73</f>
        <v>Name of the installation (optional):</v>
      </c>
      <c r="F19" s="1221"/>
      <c r="G19" s="1221"/>
      <c r="H19" s="1252"/>
      <c r="I19" s="1228"/>
      <c r="J19" s="1229"/>
      <c r="K19" s="1229"/>
      <c r="L19" s="1229"/>
      <c r="M19" s="1229"/>
      <c r="N19" s="1230"/>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19" t="str">
        <f>Translations!$B$74</f>
        <v>Name of the installation (English name):</v>
      </c>
      <c r="F20" s="1219"/>
      <c r="G20" s="1219"/>
      <c r="H20" s="1275"/>
      <c r="I20" s="1276" t="s">
        <v>4261</v>
      </c>
      <c r="J20" s="1277"/>
      <c r="K20" s="1277"/>
      <c r="L20" s="1277"/>
      <c r="M20" s="1277"/>
      <c r="N20" s="1278"/>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57" t="str">
        <f>Translations!$B$75</f>
        <v>Street, Number:</v>
      </c>
      <c r="F21" s="1257"/>
      <c r="G21" s="1257"/>
      <c r="H21" s="1258"/>
      <c r="I21" s="1253" t="s">
        <v>4262</v>
      </c>
      <c r="J21" s="1254"/>
      <c r="K21" s="1254"/>
      <c r="L21" s="1254"/>
      <c r="M21" s="1254"/>
      <c r="N21" s="1255"/>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57" t="str">
        <f>Translations!$B$76</f>
        <v>Economic activity:</v>
      </c>
      <c r="F22" s="1257"/>
      <c r="G22" s="1257"/>
      <c r="H22" s="1258"/>
      <c r="I22" s="1222" t="s">
        <v>4263</v>
      </c>
      <c r="J22" s="1223"/>
      <c r="K22" s="1223"/>
      <c r="L22" s="1223"/>
      <c r="M22" s="1223"/>
      <c r="N22" s="122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57" t="str">
        <f>Translations!$B$77</f>
        <v>Post code:</v>
      </c>
      <c r="F23" s="1257"/>
      <c r="G23" s="1257"/>
      <c r="H23" s="1258"/>
      <c r="I23" s="1253" t="s">
        <v>4264</v>
      </c>
      <c r="J23" s="1254"/>
      <c r="K23" s="1254"/>
      <c r="L23" s="1254"/>
      <c r="M23" s="1254"/>
      <c r="N23" s="1255"/>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57" t="str">
        <f>Translations!$B$78</f>
        <v>P.O. Box:</v>
      </c>
      <c r="F24" s="1257"/>
      <c r="G24" s="1257"/>
      <c r="H24" s="1258"/>
      <c r="I24" s="1253" t="s">
        <v>4265</v>
      </c>
      <c r="J24" s="1254"/>
      <c r="K24" s="1254"/>
      <c r="L24" s="1254"/>
      <c r="M24" s="1254"/>
      <c r="N24" s="1255"/>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57" t="str">
        <f>Translations!$B$79</f>
        <v>City:</v>
      </c>
      <c r="F25" s="1257"/>
      <c r="G25" s="1257"/>
      <c r="H25" s="1258"/>
      <c r="I25" s="1253" t="s">
        <v>4266</v>
      </c>
      <c r="J25" s="1254"/>
      <c r="K25" s="1254"/>
      <c r="L25" s="1254"/>
      <c r="M25" s="1254"/>
      <c r="N25" s="1255"/>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57" t="str">
        <f>Translations!$B$80</f>
        <v>Country:</v>
      </c>
      <c r="F26" s="1257"/>
      <c r="G26" s="1257"/>
      <c r="H26" s="1258"/>
      <c r="I26" s="1253" t="s">
        <v>3266</v>
      </c>
      <c r="J26" s="1254"/>
      <c r="K26" s="1254"/>
      <c r="L26" s="1254"/>
      <c r="M26" s="1254"/>
      <c r="N26" s="1255"/>
      <c r="O26" s="428"/>
      <c r="Q26" s="144"/>
      <c r="R26" s="171"/>
      <c r="S26" s="105" t="str">
        <f>IF(I26="","",INDEX(CNTR_ListCountriesCode,MATCH(I26,CNTR_ListCountriesName,0)))</f>
        <v>TR</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57" t="str">
        <f>Translations!$B$81</f>
        <v>UNLOCODE:</v>
      </c>
      <c r="F27" s="1257"/>
      <c r="G27" s="1257"/>
      <c r="H27" s="1258"/>
      <c r="I27" s="1253" t="s">
        <v>4267</v>
      </c>
      <c r="J27" s="1254"/>
      <c r="K27" s="1254"/>
      <c r="L27" s="1254"/>
      <c r="M27" s="1254"/>
      <c r="N27" s="1255"/>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57" t="str">
        <f>Translations!$B$82</f>
        <v>Coordinates of the main emission source (latitude):</v>
      </c>
      <c r="F28" s="1257"/>
      <c r="G28" s="1257"/>
      <c r="H28" s="1258"/>
      <c r="I28" s="1253" t="s">
        <v>4268</v>
      </c>
      <c r="J28" s="1254"/>
      <c r="K28" s="1254"/>
      <c r="L28" s="1254"/>
      <c r="M28" s="1254"/>
      <c r="N28" s="1255"/>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57" t="str">
        <f>Translations!$B$83</f>
        <v>Coordinates of the main emission source (longitude):</v>
      </c>
      <c r="F29" s="1257"/>
      <c r="G29" s="1257"/>
      <c r="H29" s="1258"/>
      <c r="I29" s="1253" t="s">
        <v>4269</v>
      </c>
      <c r="J29" s="1254"/>
      <c r="K29" s="1254"/>
      <c r="L29" s="1254"/>
      <c r="M29" s="1254"/>
      <c r="N29" s="1255"/>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57" t="str">
        <f>Translations!$B$84</f>
        <v>Name of authorized representative:</v>
      </c>
      <c r="F30" s="1257"/>
      <c r="G30" s="1257"/>
      <c r="H30" s="1258"/>
      <c r="I30" s="1222"/>
      <c r="J30" s="1223"/>
      <c r="K30" s="1223"/>
      <c r="L30" s="1223"/>
      <c r="M30" s="1223"/>
      <c r="N30" s="122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59" t="str">
        <f>Translations!$B$85</f>
        <v>Email:</v>
      </c>
      <c r="F31" s="1260"/>
      <c r="G31" s="1260"/>
      <c r="H31" s="1261"/>
      <c r="I31" s="1222"/>
      <c r="J31" s="1223"/>
      <c r="K31" s="1223"/>
      <c r="L31" s="1223"/>
      <c r="M31" s="1223"/>
      <c r="N31" s="122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62" t="str">
        <f>Translations!$B$86</f>
        <v>Telephone:</v>
      </c>
      <c r="F32" s="1263"/>
      <c r="G32" s="1263"/>
      <c r="H32" s="1264"/>
      <c r="I32" s="1225"/>
      <c r="J32" s="1226"/>
      <c r="K32" s="1226"/>
      <c r="L32" s="1226"/>
      <c r="M32" s="1226"/>
      <c r="N32" s="1227"/>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31" t="str">
        <f>Translations!$B$89</f>
        <v>Name and address of the verifier of this report:</v>
      </c>
      <c r="F36" s="1231"/>
      <c r="G36" s="1231"/>
      <c r="H36" s="1231"/>
      <c r="I36" s="1231"/>
      <c r="J36" s="1231"/>
      <c r="K36" s="1231"/>
      <c r="L36" s="1231"/>
      <c r="M36" s="1231"/>
      <c r="N36" s="1231"/>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21" t="str">
        <f>Translations!$B$90</f>
        <v>Company Name:</v>
      </c>
      <c r="F37" s="1221"/>
      <c r="G37" s="1221"/>
      <c r="H37" s="1221"/>
      <c r="I37" s="1228"/>
      <c r="J37" s="1229"/>
      <c r="K37" s="1229"/>
      <c r="L37" s="1229"/>
      <c r="M37" s="1229"/>
      <c r="N37" s="1230"/>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19" t="str">
        <f>Translations!$B$75</f>
        <v>Street, Number:</v>
      </c>
      <c r="F38" s="1219"/>
      <c r="G38" s="1219"/>
      <c r="H38" s="1219"/>
      <c r="I38" s="1222"/>
      <c r="J38" s="1223"/>
      <c r="K38" s="1223"/>
      <c r="L38" s="1223"/>
      <c r="M38" s="1223"/>
      <c r="N38" s="122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19" t="str">
        <f>Translations!$B$79</f>
        <v>City:</v>
      </c>
      <c r="F39" s="1219"/>
      <c r="G39" s="1219"/>
      <c r="H39" s="1219"/>
      <c r="I39" s="1222"/>
      <c r="J39" s="1223"/>
      <c r="K39" s="1223"/>
      <c r="L39" s="1223"/>
      <c r="M39" s="1223"/>
      <c r="N39" s="122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19" t="str">
        <f>Translations!$B$91</f>
        <v>Postcode/ZIP:</v>
      </c>
      <c r="F40" s="1219"/>
      <c r="G40" s="1219"/>
      <c r="H40" s="1219"/>
      <c r="I40" s="1222"/>
      <c r="J40" s="1223"/>
      <c r="K40" s="1223"/>
      <c r="L40" s="1223"/>
      <c r="M40" s="1223"/>
      <c r="N40" s="122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20" t="str">
        <f>Translations!$B$80</f>
        <v>Country:</v>
      </c>
      <c r="F41" s="1220"/>
      <c r="G41" s="1220"/>
      <c r="H41" s="1220"/>
      <c r="I41" s="1225"/>
      <c r="J41" s="1226"/>
      <c r="K41" s="1226"/>
      <c r="L41" s="1226"/>
      <c r="M41" s="1226"/>
      <c r="N41" s="1227"/>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31" t="str">
        <f>Translations!$B$92</f>
        <v>Authorised representative of the verifier:</v>
      </c>
      <c r="F43" s="1231"/>
      <c r="G43" s="1231"/>
      <c r="H43" s="1231"/>
      <c r="I43" s="1231"/>
      <c r="J43" s="1231"/>
      <c r="K43" s="1231"/>
      <c r="L43" s="1231"/>
      <c r="M43" s="1231"/>
      <c r="N43" s="1231"/>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56" t="str">
        <f>Translations!$B$93</f>
        <v>The nominated person should be familiar with this report. Ideally it is the lead verifier involved with this report.</v>
      </c>
      <c r="F44" s="1256"/>
      <c r="G44" s="1256"/>
      <c r="H44" s="1256"/>
      <c r="I44" s="1256"/>
      <c r="J44" s="1256"/>
      <c r="K44" s="1256"/>
      <c r="L44" s="1256"/>
      <c r="M44" s="1256"/>
      <c r="N44" s="1256"/>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21" t="str">
        <f>Translations!$B$94</f>
        <v>Name:</v>
      </c>
      <c r="F45" s="1221"/>
      <c r="G45" s="1221"/>
      <c r="H45" s="1221"/>
      <c r="I45" s="1228"/>
      <c r="J45" s="1229"/>
      <c r="K45" s="1229"/>
      <c r="L45" s="1229"/>
      <c r="M45" s="1229"/>
      <c r="N45" s="1230"/>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19" t="str">
        <f>Translations!$B$95</f>
        <v>Email address:</v>
      </c>
      <c r="F46" s="1219"/>
      <c r="G46" s="1219"/>
      <c r="H46" s="1219"/>
      <c r="I46" s="1222"/>
      <c r="J46" s="1223"/>
      <c r="K46" s="1223"/>
      <c r="L46" s="1223"/>
      <c r="M46" s="1223"/>
      <c r="N46" s="122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19" t="str">
        <f>Translations!$B$96</f>
        <v>Telephone number:</v>
      </c>
      <c r="F47" s="1219"/>
      <c r="G47" s="1219"/>
      <c r="H47" s="1219"/>
      <c r="I47" s="1222"/>
      <c r="J47" s="1223"/>
      <c r="K47" s="1223"/>
      <c r="L47" s="1223"/>
      <c r="M47" s="1223"/>
      <c r="N47" s="122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20" t="str">
        <f>Translations!$B$97</f>
        <v>Fax:</v>
      </c>
      <c r="F48" s="1220"/>
      <c r="G48" s="1220"/>
      <c r="H48" s="1220"/>
      <c r="I48" s="1225"/>
      <c r="J48" s="1226"/>
      <c r="K48" s="1226"/>
      <c r="L48" s="1226"/>
      <c r="M48" s="1226"/>
      <c r="N48" s="1227"/>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31" t="str">
        <f>Translations!$B$98</f>
        <v>Information about the verifier's accreditation:</v>
      </c>
      <c r="F50" s="1231"/>
      <c r="G50" s="1231"/>
      <c r="H50" s="1231"/>
      <c r="I50" s="1231"/>
      <c r="J50" s="1231"/>
      <c r="K50" s="1231"/>
      <c r="L50" s="1231"/>
      <c r="M50" s="1231"/>
      <c r="N50" s="1231"/>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21" t="str">
        <f>Translations!$B$99</f>
        <v>Accreditation Member State:</v>
      </c>
      <c r="F51" s="1221"/>
      <c r="G51" s="1221"/>
      <c r="H51" s="1221"/>
      <c r="I51" s="1228"/>
      <c r="J51" s="1229"/>
      <c r="K51" s="1229"/>
      <c r="L51" s="1229"/>
      <c r="M51" s="1229"/>
      <c r="N51" s="1230"/>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19" t="str">
        <f>Translations!$B$100</f>
        <v>Name of the national accreditation body:</v>
      </c>
      <c r="F52" s="1219"/>
      <c r="G52" s="1219"/>
      <c r="H52" s="1219"/>
      <c r="I52" s="1222"/>
      <c r="J52" s="1223"/>
      <c r="K52" s="1223"/>
      <c r="L52" s="1223"/>
      <c r="M52" s="1223"/>
      <c r="N52" s="122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20" t="str">
        <f>Translations!$B$101</f>
        <v>Registration number issued by the Accreditation body:</v>
      </c>
      <c r="F53" s="1220"/>
      <c r="G53" s="1220"/>
      <c r="H53" s="1220"/>
      <c r="I53" s="1225"/>
      <c r="J53" s="1226"/>
      <c r="K53" s="1226"/>
      <c r="L53" s="1226"/>
      <c r="M53" s="1226"/>
      <c r="N53" s="1227"/>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31" t="str">
        <f>Translations!$B$104</f>
        <v>List of aggregated goods categories, relevant precursors and corresponding production routes</v>
      </c>
      <c r="F57" s="1231"/>
      <c r="G57" s="1231"/>
      <c r="H57" s="1231"/>
      <c r="I57" s="1231"/>
      <c r="J57" s="1231"/>
      <c r="K57" s="1231"/>
      <c r="L57" s="1231"/>
      <c r="M57" s="1231"/>
      <c r="N57" s="1231"/>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34" t="str">
        <f>Translations!$B$105</f>
        <v>Please list here ALL aggregated goods categories, including any relevant precursor types produced WITHIN the installation.</v>
      </c>
      <c r="F58" s="1234"/>
      <c r="G58" s="1234"/>
      <c r="H58" s="1234"/>
      <c r="I58" s="1234"/>
      <c r="J58" s="1234"/>
      <c r="K58" s="1234"/>
      <c r="L58" s="1234"/>
      <c r="M58" s="1234"/>
      <c r="N58" s="1234"/>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34" t="str">
        <f>Translations!$B$106</f>
        <v>Where relevant, please list all production routes through which the aggregated goods are produced.</v>
      </c>
      <c r="F59" s="1234"/>
      <c r="G59" s="1234"/>
      <c r="H59" s="1234"/>
      <c r="I59" s="1234"/>
      <c r="J59" s="1234"/>
      <c r="K59" s="1234"/>
      <c r="L59" s="1234"/>
      <c r="M59" s="1234"/>
      <c r="N59" s="1234"/>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82" t="str">
        <f>Translations!$B$107</f>
        <v>Aggregated goods category</v>
      </c>
      <c r="F61" s="1282"/>
      <c r="G61" s="1172" t="str">
        <f>Translations!$B$108</f>
        <v>Route</v>
      </c>
      <c r="H61" s="1284"/>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85" t="s">
        <v>2724</v>
      </c>
      <c r="F62" s="1285"/>
      <c r="G62" s="1283" t="str">
        <f t="shared" ref="G62:G71" si="0">IF(E62="","",IF(COUNTIF(INDEX(CONST_MATRIX_ProductionRoute,MATCH(E62,CONST_LIST_Goods,0),),CONST_NA)=9,CONST_AllProdRoutes,CONST_PleaseSelect))</f>
        <v>All production routes</v>
      </c>
      <c r="H62" s="1283"/>
      <c r="I62" s="528"/>
      <c r="J62" s="882"/>
      <c r="K62" s="445"/>
      <c r="L62" s="445"/>
      <c r="M62" s="445"/>
      <c r="N62" s="882"/>
      <c r="O62" s="428"/>
      <c r="Q62" s="144"/>
      <c r="R62" s="928" t="s">
        <v>308</v>
      </c>
      <c r="S62" s="114" t="str">
        <f t="shared" ref="S62:S67" si="1">IF(E62="",CONST_NA,E62)</f>
        <v>Cement</v>
      </c>
      <c r="T62" s="102" t="str">
        <f t="shared" ref="T62:T71" ca="1" si="2">IF(E62="","",INDEX(CONST_LIST_GoodsProdRouteAdd,MATCH(E62,CONST_LIST_Goods,0)))</f>
        <v>Parameters_Constants!$G$89:$G$89</v>
      </c>
      <c r="U62" s="171"/>
      <c r="V62" s="925" t="str">
        <f t="shared" ref="V62:V67" si="3">D62</f>
        <v>G1</v>
      </c>
      <c r="W62" s="105">
        <f t="shared" ref="W62:W67" si="4">IF(E62="","",MATCH(E62,CONST_LIST_Goods,0))</f>
        <v>1</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0</v>
      </c>
      <c r="AI62" s="929" t="b">
        <f t="shared" ref="AI62:AI67" si="7">OR(AND(CNTR_HasEntriesA,E62=""),AND(E62&lt;&gt;"",G62=CONST_AllProdRoutes))</f>
        <v>1</v>
      </c>
    </row>
    <row r="63" spans="1:35" ht="12.75" customHeight="1" x14ac:dyDescent="0.25">
      <c r="A63" s="92"/>
      <c r="B63" s="94"/>
      <c r="C63" s="144"/>
      <c r="D63" s="607" t="s">
        <v>127</v>
      </c>
      <c r="E63" s="1237" t="s">
        <v>12</v>
      </c>
      <c r="F63" s="1238"/>
      <c r="G63" s="1235" t="str">
        <f t="shared" si="0"/>
        <v>All production routes</v>
      </c>
      <c r="H63" s="1236"/>
      <c r="I63" s="540"/>
      <c r="J63" s="883"/>
      <c r="K63" s="471"/>
      <c r="L63" s="471"/>
      <c r="M63" s="471"/>
      <c r="N63" s="883"/>
      <c r="O63" s="428"/>
      <c r="Q63" s="144"/>
      <c r="R63" s="171"/>
      <c r="S63" s="114" t="str">
        <f t="shared" si="1"/>
        <v>Cement clinker</v>
      </c>
      <c r="T63" s="102" t="str">
        <f t="shared" ca="1" si="2"/>
        <v>Parameters_Constants!$G$90:$G$90</v>
      </c>
      <c r="U63" s="171"/>
      <c r="V63" s="925" t="str">
        <f t="shared" si="3"/>
        <v>G1</v>
      </c>
      <c r="W63" s="105">
        <f t="shared" si="4"/>
        <v>2</v>
      </c>
      <c r="X63" s="105" t="str">
        <f t="shared" si="5"/>
        <v/>
      </c>
      <c r="Y63" s="105" t="str">
        <f t="shared" si="5"/>
        <v/>
      </c>
      <c r="Z63" s="105" t="str">
        <f t="shared" si="5"/>
        <v/>
      </c>
      <c r="AA63" s="105" t="str">
        <f t="shared" si="5"/>
        <v/>
      </c>
      <c r="AB63" s="105" t="str">
        <f t="shared" si="5"/>
        <v/>
      </c>
      <c r="AC63" s="105" t="str">
        <f t="shared" si="5"/>
        <v/>
      </c>
      <c r="AD63" s="171"/>
      <c r="AE63" s="102" t="b">
        <f t="shared" si="6"/>
        <v>0</v>
      </c>
      <c r="AF63" s="171"/>
      <c r="AG63" s="171"/>
      <c r="AH63" s="116" t="b">
        <f>IF(E63="","",INDEX(Parameters_Constants!$BN$89:$BN$106,MATCH(E63,CONST_LIST_Goods,0)))</f>
        <v>0</v>
      </c>
      <c r="AI63" s="929" t="b">
        <f t="shared" si="7"/>
        <v>1</v>
      </c>
    </row>
    <row r="64" spans="1:35" ht="12.75" customHeight="1" x14ac:dyDescent="0.25">
      <c r="A64" s="92"/>
      <c r="B64" s="94"/>
      <c r="C64" s="144"/>
      <c r="D64" s="607" t="s">
        <v>130</v>
      </c>
      <c r="E64" s="1237"/>
      <c r="F64" s="1238"/>
      <c r="G64" s="1235" t="str">
        <f t="shared" si="0"/>
        <v/>
      </c>
      <c r="H64" s="1236"/>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1</v>
      </c>
    </row>
    <row r="65" spans="1:35" ht="12.75" customHeight="1" x14ac:dyDescent="0.25">
      <c r="A65" s="92"/>
      <c r="B65" s="94"/>
      <c r="C65" s="144"/>
      <c r="D65" s="607" t="s">
        <v>192</v>
      </c>
      <c r="E65" s="1237"/>
      <c r="F65" s="1237"/>
      <c r="G65" s="1235" t="str">
        <f t="shared" si="0"/>
        <v/>
      </c>
      <c r="H65" s="1236"/>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1</v>
      </c>
    </row>
    <row r="66" spans="1:35" ht="12.75" customHeight="1" x14ac:dyDescent="0.25">
      <c r="A66" s="92"/>
      <c r="B66" s="94"/>
      <c r="C66" s="144"/>
      <c r="D66" s="607" t="s">
        <v>193</v>
      </c>
      <c r="E66" s="1237"/>
      <c r="F66" s="1238"/>
      <c r="G66" s="1235" t="str">
        <f t="shared" si="0"/>
        <v/>
      </c>
      <c r="H66" s="1236"/>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7"/>
      <c r="F67" s="1238"/>
      <c r="G67" s="1235" t="str">
        <f t="shared" si="0"/>
        <v/>
      </c>
      <c r="H67" s="1236"/>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7"/>
      <c r="F68" s="1238"/>
      <c r="G68" s="1235" t="str">
        <f t="shared" si="0"/>
        <v/>
      </c>
      <c r="H68" s="1236"/>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7"/>
      <c r="F69" s="1238"/>
      <c r="G69" s="1235" t="str">
        <f t="shared" si="0"/>
        <v/>
      </c>
      <c r="H69" s="1236"/>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7"/>
      <c r="F70" s="1238"/>
      <c r="G70" s="1235" t="str">
        <f t="shared" si="0"/>
        <v/>
      </c>
      <c r="H70" s="1236"/>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39"/>
      <c r="F71" s="1240"/>
      <c r="G71" s="1241" t="str">
        <f t="shared" si="0"/>
        <v/>
      </c>
      <c r="H71" s="1242"/>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34"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34"/>
      <c r="G73" s="1234"/>
      <c r="H73" s="1234"/>
      <c r="I73" s="1234"/>
      <c r="J73" s="1234"/>
      <c r="K73" s="1234"/>
      <c r="L73" s="1234"/>
      <c r="M73" s="1234"/>
      <c r="N73" s="1234"/>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Cement clinker</v>
      </c>
      <c r="H74" s="606" t="str">
        <f>IF(COUNTIF(CONST_CNTR_PrecNumbering,COLUMNS($G74:H74))=0,"",INDEX(CONST_LIST_Goods,MATCH(COLUMNS($G74:H74),CONST_CNTR_PrecNumbering,0)))</f>
        <v xml:space="preserve">Calcined clays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31" t="str">
        <f>Translations!$B$117</f>
        <v>Relevant production processes</v>
      </c>
      <c r="F77" s="1231"/>
      <c r="G77" s="1231"/>
      <c r="H77" s="1231"/>
      <c r="I77" s="1231"/>
      <c r="J77" s="1231"/>
      <c r="K77" s="1231"/>
      <c r="L77" s="1231"/>
      <c r="M77" s="1231"/>
      <c r="N77" s="1231"/>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34"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34"/>
      <c r="G78" s="1234"/>
      <c r="H78" s="1234"/>
      <c r="I78" s="1234"/>
      <c r="J78" s="1234"/>
      <c r="K78" s="1234"/>
      <c r="L78" s="1234"/>
      <c r="M78" s="1234"/>
      <c r="N78" s="1234"/>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7"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7"/>
      <c r="G79" s="1267"/>
      <c r="H79" s="1267"/>
      <c r="I79" s="1267"/>
      <c r="J79" s="1267"/>
      <c r="K79" s="1267"/>
      <c r="L79" s="1267"/>
      <c r="M79" s="1267"/>
      <c r="N79" s="1267"/>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80" t="s">
        <v>126</v>
      </c>
      <c r="E81" s="1250" t="str">
        <f>Translations!$B$107</f>
        <v>Aggregated goods category</v>
      </c>
      <c r="F81" s="1243" t="str">
        <f>Translations!$B$121</f>
        <v>Included goods categories listed under (a)</v>
      </c>
      <c r="G81" s="1244"/>
      <c r="H81" s="1244"/>
      <c r="I81" s="1244"/>
      <c r="J81" s="1244"/>
      <c r="K81" s="1245"/>
      <c r="L81" s="1246" t="str">
        <f>Translations!$B$122</f>
        <v>Name</v>
      </c>
      <c r="M81" s="1247"/>
      <c r="N81" s="1250"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81"/>
      <c r="E82" s="1251"/>
      <c r="F82" s="113">
        <v>1</v>
      </c>
      <c r="G82" s="113">
        <v>2</v>
      </c>
      <c r="H82" s="113">
        <v>3</v>
      </c>
      <c r="I82" s="113">
        <v>4</v>
      </c>
      <c r="J82" s="113">
        <v>5</v>
      </c>
      <c r="K82" s="113">
        <v>6</v>
      </c>
      <c r="L82" s="1248"/>
      <c r="M82" s="1249"/>
      <c r="N82" s="1251"/>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2724</v>
      </c>
      <c r="F83" s="528" t="s">
        <v>12</v>
      </c>
      <c r="G83" s="882"/>
      <c r="H83" s="882"/>
      <c r="I83" s="882"/>
      <c r="J83" s="882"/>
      <c r="K83" s="882"/>
      <c r="L83" s="1270" t="s">
        <v>4270</v>
      </c>
      <c r="M83" s="1271"/>
      <c r="N83" s="988" t="str">
        <f>IF(E83="","",IF(OR(L83="",AND(AF83=FALSE,COUNTA(F83:K83)=0)),CONST_ERR_Incomplete,IF(COUNTIF(L$83:M83,L83)&gt;1,CONST_ERR_Duplicate,IF(COUNTIF(X83:AC83,NA())&gt;0,CONST_ERR_Inconsistent,""))))</f>
        <v/>
      </c>
      <c r="O83" s="428"/>
      <c r="Q83" s="144"/>
      <c r="R83" s="928"/>
      <c r="S83" s="114" t="str">
        <f t="shared" ref="S83:S92" si="9">IF(E83="",CONST_NA,E83)</f>
        <v>Cement</v>
      </c>
      <c r="T83" s="102" t="str">
        <f t="shared" ref="T83:T92" si="10">IF(E83="",CONST_NA,IF(L83="",D83 &amp; " - " &amp; E83,L83))</f>
        <v>Cement Bubble</v>
      </c>
      <c r="U83" s="171"/>
      <c r="V83" s="925" t="str">
        <f>D83</f>
        <v>P1</v>
      </c>
      <c r="W83" s="105">
        <f t="shared" ref="W83:W92" si="11">IF(E83="","",MATCH(E83,CONST_LIST_Goods,0))</f>
        <v>1</v>
      </c>
      <c r="X83" s="105" t="str">
        <f>IF(F83="","",$W83&amp;"_"&amp;IF(F83=$S$61,0,MATCH(F83,INDEX(Parameters_Constants!$AC$89:$AM$106,$W83,),0)))</f>
        <v>1_2</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All production routes</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c r="F84" s="540"/>
      <c r="G84" s="883"/>
      <c r="H84" s="883"/>
      <c r="I84" s="883"/>
      <c r="J84" s="883"/>
      <c r="K84" s="883"/>
      <c r="L84" s="1232"/>
      <c r="M84" s="1233"/>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1</v>
      </c>
    </row>
    <row r="85" spans="1:35" ht="12.75" customHeight="1" x14ac:dyDescent="0.25">
      <c r="A85" s="92"/>
      <c r="B85" s="94"/>
      <c r="C85" s="144"/>
      <c r="D85" s="607" t="s">
        <v>4210</v>
      </c>
      <c r="E85" s="609"/>
      <c r="F85" s="540"/>
      <c r="G85" s="883"/>
      <c r="H85" s="883"/>
      <c r="I85" s="883"/>
      <c r="J85" s="883"/>
      <c r="K85" s="883"/>
      <c r="L85" s="1232"/>
      <c r="M85" s="1233"/>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32"/>
      <c r="M86" s="1233"/>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32"/>
      <c r="M87" s="1233"/>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32"/>
      <c r="M88" s="1233"/>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32"/>
      <c r="M89" s="1233"/>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32"/>
      <c r="M90" s="1233"/>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32"/>
      <c r="M91" s="1233"/>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65"/>
      <c r="M92" s="1266"/>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8" t="str">
        <f>IF(COUNTIF(AE62:AE71,TRUE)&gt;0,CONST_MsgMissingProdProc,"")</f>
        <v/>
      </c>
      <c r="I94" s="1268"/>
      <c r="J94" s="1268"/>
      <c r="K94" s="1268"/>
      <c r="L94" s="1268"/>
      <c r="M94" s="1268"/>
      <c r="N94" s="1268"/>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34" t="str">
        <f>Translations!$B$125</f>
        <v>Please list here all precursors that are produced OUTSIDE the installation (e.g. purchased) and consumed within the installation.</v>
      </c>
      <c r="F98" s="1234"/>
      <c r="G98" s="1234"/>
      <c r="H98" s="1234"/>
      <c r="I98" s="1234"/>
      <c r="J98" s="1234"/>
      <c r="K98" s="1234"/>
      <c r="L98" s="1234"/>
      <c r="M98" s="1234"/>
      <c r="N98" s="1234"/>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34" t="str">
        <f>Translations!$B$126</f>
        <v>Please also list the country in which the relevant precursor was produced (see sheet "c_CodeLists" to find the correct country codes) and the relevant production routes, if known.</v>
      </c>
      <c r="F99" s="1234"/>
      <c r="G99" s="1234"/>
      <c r="H99" s="1234"/>
      <c r="I99" s="1234"/>
      <c r="J99" s="1234"/>
      <c r="K99" s="1234"/>
      <c r="L99" s="1234"/>
      <c r="M99" s="1234"/>
      <c r="N99" s="1234"/>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9" t="str">
        <f>Translations!$B$122</f>
        <v>Name</v>
      </c>
      <c r="M101" s="1269"/>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c r="F102" s="611"/>
      <c r="G102" s="843"/>
      <c r="H102" s="879"/>
      <c r="I102" s="879"/>
      <c r="J102" s="879"/>
      <c r="K102" s="879"/>
      <c r="L102" s="1270"/>
      <c r="M102" s="1271"/>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1</v>
      </c>
    </row>
    <row r="103" spans="1:35" ht="12.75" customHeight="1" x14ac:dyDescent="0.25">
      <c r="A103" s="92"/>
      <c r="B103" s="94"/>
      <c r="C103" s="144"/>
      <c r="D103" s="813" t="s">
        <v>316</v>
      </c>
      <c r="E103" s="609"/>
      <c r="F103" s="612"/>
      <c r="G103" s="839"/>
      <c r="H103" s="880"/>
      <c r="I103" s="880"/>
      <c r="J103" s="880"/>
      <c r="K103" s="880"/>
      <c r="L103" s="1232"/>
      <c r="M103" s="1233"/>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1</v>
      </c>
    </row>
    <row r="104" spans="1:35" ht="12.75" customHeight="1" x14ac:dyDescent="0.25">
      <c r="A104" s="92"/>
      <c r="B104" s="94"/>
      <c r="C104" s="144"/>
      <c r="D104" s="813" t="s">
        <v>317</v>
      </c>
      <c r="E104" s="609"/>
      <c r="F104" s="612"/>
      <c r="G104" s="839"/>
      <c r="H104" s="880"/>
      <c r="I104" s="880"/>
      <c r="J104" s="880"/>
      <c r="K104" s="880"/>
      <c r="L104" s="1232"/>
      <c r="M104" s="1233"/>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1</v>
      </c>
    </row>
    <row r="105" spans="1:35" ht="12.75" customHeight="1" x14ac:dyDescent="0.25">
      <c r="A105" s="92"/>
      <c r="B105" s="94"/>
      <c r="C105" s="144"/>
      <c r="D105" s="813" t="s">
        <v>318</v>
      </c>
      <c r="E105" s="609"/>
      <c r="F105" s="612"/>
      <c r="G105" s="839"/>
      <c r="H105" s="880"/>
      <c r="I105" s="880"/>
      <c r="J105" s="880"/>
      <c r="K105" s="880"/>
      <c r="L105" s="1232"/>
      <c r="M105" s="1233"/>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1</v>
      </c>
    </row>
    <row r="106" spans="1:35" ht="12.75" customHeight="1" x14ac:dyDescent="0.25">
      <c r="A106" s="92"/>
      <c r="B106" s="94"/>
      <c r="C106" s="144"/>
      <c r="D106" s="813" t="s">
        <v>319</v>
      </c>
      <c r="E106" s="609"/>
      <c r="F106" s="612"/>
      <c r="G106" s="839"/>
      <c r="H106" s="880"/>
      <c r="I106" s="880"/>
      <c r="J106" s="880"/>
      <c r="K106" s="880"/>
      <c r="L106" s="1232"/>
      <c r="M106" s="1233"/>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32"/>
      <c r="M107" s="1233"/>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32"/>
      <c r="M108" s="1233"/>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32"/>
      <c r="M109" s="1233"/>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32"/>
      <c r="M110" s="1233"/>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32"/>
      <c r="M111" s="1233"/>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32"/>
      <c r="M112" s="1233"/>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32"/>
      <c r="M113" s="1233"/>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32"/>
      <c r="M114" s="1233"/>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32"/>
      <c r="M115" s="1233"/>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32"/>
      <c r="M116" s="1233"/>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32"/>
      <c r="M117" s="1233"/>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32"/>
      <c r="M118" s="1233"/>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32"/>
      <c r="M119" s="1233"/>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32"/>
      <c r="M120" s="1233"/>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65"/>
      <c r="M121" s="1266"/>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I62:N71">
    <cfRule type="expression" dxfId="554" priority="19">
      <formula>$AI62</formula>
    </cfRule>
  </conditionalFormatting>
  <conditionalFormatting sqref="F102:N109 F111:N121 N110 F83:N92">
    <cfRule type="expression" dxfId="553" priority="18">
      <formula>$AI83</formula>
    </cfRule>
  </conditionalFormatting>
  <conditionalFormatting sqref="G102:K109 G111:K121">
    <cfRule type="expression" dxfId="552" priority="208">
      <formula>$AH102</formula>
    </cfRule>
  </conditionalFormatting>
  <conditionalFormatting sqref="G3:N3 G4:H4">
    <cfRule type="expression" dxfId="551" priority="11">
      <formula>COUNTIF($AG:$AG,CONST_ErrorOrMissing&amp;R3)&gt;0</formula>
    </cfRule>
  </conditionalFormatting>
  <conditionalFormatting sqref="F110:M110">
    <cfRule type="expression" dxfId="550" priority="3">
      <formula>$AI110</formula>
    </cfRule>
  </conditionalFormatting>
  <conditionalFormatting sqref="G110:K110">
    <cfRule type="expression" dxfId="549"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75" t="str">
        <f>Translations!$B$127</f>
        <v>Source streams</v>
      </c>
      <c r="C2" s="1176"/>
      <c r="D2" s="1177"/>
      <c r="E2" s="1184" t="str">
        <f>Translations!$B$11</f>
        <v>Navigation Area:</v>
      </c>
      <c r="F2" s="1185"/>
      <c r="G2" s="1186" t="str">
        <f ca="1">HYPERLINK("#"&amp;ADDRESS(2,3,,,a_Contents!$U$2),a_Contents!$B$2)</f>
        <v>Table of contents</v>
      </c>
      <c r="H2" s="1187"/>
      <c r="I2" s="1186" t="str">
        <f ca="1">HYPERLINK("#"&amp;ADDRESS(2,3,,,G_FurtherGuidance!$U$2),G_FurtherGuidance!$B$2)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78"/>
      <c r="C3" s="1179"/>
      <c r="D3" s="1180"/>
      <c r="E3" s="1171"/>
      <c r="F3" s="1171"/>
      <c r="G3" s="1171" t="str">
        <f>IFERROR(HYPERLINK("#"&amp;ADDRESS(ROW($A$1)+MATCH(BA3,$A:$A,0)-1,3),INDEX($BA:$BA,MATCH(BA3,$A:$A,0))),"")</f>
        <v>Source streams</v>
      </c>
      <c r="H3" s="1171"/>
      <c r="I3" s="1171" t="str">
        <f>IFERROR(HYPERLINK("#"&amp;ADDRESS(ROW($A$1)+MATCH(BC3,$A:$A,0)-1,3),INDEX($BA:$BA,MATCH(BC3,$A:$A,0))),"")</f>
        <v>PFC (perfluorocarbon) emissions</v>
      </c>
      <c r="J3" s="1171"/>
      <c r="K3" s="1171" t="str">
        <f>IFERROR(HYPERLINK("#"&amp;ADDRESS(ROW($A$1)+MATCH(BE3,$A:$A,0)-1,3),INDEX($BA:$BA,MATCH(BE3,$A:$A,0))),"")</f>
        <v>Emission sources</v>
      </c>
      <c r="L3" s="1171"/>
      <c r="M3" s="1171"/>
      <c r="N3" s="1171"/>
      <c r="BA3" s="302">
        <v>1</v>
      </c>
      <c r="BB3" s="303"/>
      <c r="BC3" s="303">
        <v>2</v>
      </c>
      <c r="BD3" s="303"/>
      <c r="BE3" s="303">
        <v>3</v>
      </c>
      <c r="BF3" s="303"/>
      <c r="BG3" s="304"/>
    </row>
    <row r="4" spans="1:75" ht="14.1" customHeight="1" thickBot="1" x14ac:dyDescent="0.35">
      <c r="B4" s="1181"/>
      <c r="C4" s="1182"/>
      <c r="D4" s="1183"/>
      <c r="E4" s="1171"/>
      <c r="F4" s="1171"/>
      <c r="G4" s="1171"/>
      <c r="H4" s="1171"/>
      <c r="I4" s="1171"/>
      <c r="J4" s="1171"/>
      <c r="K4" s="1171"/>
      <c r="L4" s="1171"/>
      <c r="M4" s="1171"/>
      <c r="N4" s="1171"/>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8" t="str">
        <f>Translations!$B$129</f>
        <v>Source streams and emission sources</v>
      </c>
      <c r="E8" s="1288"/>
      <c r="F8" s="1288"/>
      <c r="G8" s="1288"/>
      <c r="H8" s="1288"/>
      <c r="I8" s="1288"/>
      <c r="J8" s="1288"/>
      <c r="K8" s="1288"/>
      <c r="L8" s="1288"/>
      <c r="M8" s="1288"/>
      <c r="N8" s="1288"/>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6"/>
      <c r="E9" s="1286"/>
      <c r="F9" s="1286"/>
      <c r="G9" s="1286"/>
      <c r="H9" s="1286"/>
      <c r="I9" s="1286"/>
      <c r="J9" s="1286"/>
      <c r="K9" s="1286"/>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7" t="str">
        <f ca="1">HYPERLINK("#"&amp;ADDRESS(MATCH($BB10,G_FurtherGuidance!$S:$S,0),3,,,G_FurtherGuidance!$U$2),CONST_LinkToGuidanceSheet)</f>
        <v>Please click on this link for further guidance on how to complete this section.</v>
      </c>
      <c r="E10" s="1287"/>
      <c r="F10" s="1287"/>
      <c r="G10" s="1287"/>
      <c r="H10" s="1287"/>
      <c r="I10" s="1287"/>
      <c r="J10" s="1287"/>
      <c r="K10" s="1287"/>
      <c r="L10" s="1287"/>
      <c r="M10" s="1287"/>
      <c r="N10" s="1287"/>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339</v>
      </c>
      <c r="E17" s="528" t="s">
        <v>115</v>
      </c>
      <c r="F17" s="853">
        <v>1255000</v>
      </c>
      <c r="G17" s="530" t="s">
        <v>95</v>
      </c>
      <c r="H17" s="529"/>
      <c r="I17" s="531" t="str">
        <f t="shared" si="0"/>
        <v>GJ/t</v>
      </c>
      <c r="J17" s="572">
        <v>0.52500000000000002</v>
      </c>
      <c r="K17" s="532" t="s">
        <v>102</v>
      </c>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658875</v>
      </c>
      <c r="AV17" s="537">
        <f>IF(ISNUMBER(AU17),SUM(BH17:BJ17),"")</f>
        <v>0</v>
      </c>
      <c r="AW17" s="535"/>
      <c r="AX17" s="538">
        <f>IF($D17="","",$F17*$H17/1000*(1-$R17/100))</f>
        <v>0</v>
      </c>
      <c r="AY17" s="538">
        <f>IF($D17="","",$F17*$H17/1000*($R17/100))</f>
        <v>0</v>
      </c>
      <c r="BA17" s="102" t="str">
        <f t="shared" ref="BA17:BA80" si="18">CONST_CNTR_SUM_CO2</f>
        <v>SUM_CO2</v>
      </c>
      <c r="BD17" s="124" t="str">
        <f t="shared" ref="BD17:BD48" si="19">IF($D17&lt;&gt;INDEX(CONST_MonitoringApproach,1),"",$F17*IF($K17=CONST_tCO2pTJ,$H17/1000,1)*$J17*IF($N17="",1,$N17/100)*(1-$R17/100))</f>
        <v/>
      </c>
      <c r="BE17" s="124">
        <f t="shared" ref="BE17:BE48" si="20">IF($D17&lt;&gt;INDEX(CONST_MonitoringApproach,2),"",$F17*IF($K17=CONST_tCO2pTJ,$H17/1000,1)*$J17*IF($P17="",1,$P17/100)*(1-$R17/100))</f>
        <v>658875</v>
      </c>
      <c r="BF17" s="124" t="str">
        <f t="shared" ref="BF17:BF48" si="21">IF($D17&lt;&gt;INDEX(CONST_MonitoringApproach,3),"",$F17*$L17*3.664*(1-$R17/100))</f>
        <v/>
      </c>
      <c r="BH17" s="124" t="str">
        <f t="shared" ref="BH17:BH48" si="22">IF($D17&lt;&gt;INDEX(CONST_MonitoringApproach,1),"",$F17*IF($K17=CONST_tCO2pTJ,$H17/1000,1)*$J17*IF($N17="",1,$N17/100)*($R17/100))</f>
        <v/>
      </c>
      <c r="BI17" s="124">
        <f t="shared" ref="BI17:BI48" si="23">IF($D17&lt;&gt;INDEX(CONST_MonitoringApproach,2),"",$F17*IF($K17=CONST_tCO2pTJ,$H17/1000,1)*$J17*IF($P17="",1,$P17/100)*($R17/100))</f>
        <v>0</v>
      </c>
      <c r="BJ17" s="124" t="str">
        <f t="shared" ref="BJ17:BJ48" si="24">IF($D17&lt;&gt;INDEX(CONST_MonitoringApproach,3),"",$F17*$L17*3.664*($R17/100))</f>
        <v/>
      </c>
      <c r="BK17" s="125"/>
      <c r="BL17" s="124" t="b">
        <f t="shared" ref="BL17:BL80" si="25">IF($D17="","",MATCH($D17,CONST_MonitoringApproach,0)=3)</f>
        <v>0</v>
      </c>
      <c r="BM17" s="124" t="b">
        <f t="shared" ref="BM17:BM80" si="26">IF($D17="","",MATCH($D17,CONST_MonitoringApproach,0)&lt;&gt;3)</f>
        <v>1</v>
      </c>
      <c r="BN17" s="124" t="b">
        <f t="shared" ref="BN17:BN80" si="27">IF($D17="","",MATCH($D17,CONST_MonitoringApproach,0)&lt;&gt;1)</f>
        <v>1</v>
      </c>
      <c r="BO17" s="124" t="b">
        <f t="shared" ref="BO17:BO80" si="28">IF($D17="","",MATCH($D17,CONST_MonitoringApproach,0)&lt;&gt;2)</f>
        <v>0</v>
      </c>
      <c r="BP17" s="102" t="b">
        <f t="shared" ref="BP17:BP48" si="29">OR($K17&lt;&gt;CONST_tCO2pTJ,$D17=INDEX(CONST_MonitoringApproach,3))</f>
        <v>1</v>
      </c>
      <c r="BQ17" s="125"/>
      <c r="BR17" s="102" t="b">
        <f t="shared" ref="BR17:BR48" si="30">IF($D17="","",OR(AND($G17 = INDEX(CONST_torkNm3,1), $K17=INDEX(CONST_tCO2pTJOrtCO2pt,2)),AND($G17 = INDEX(CONST_torkNm3,2),$K17=INDEX(CONST_tCO2pTJOrtCO2pt,3)),$K17=INDEX(CONST_tCO2pTJOrtCO2pt,1),$D17=INDEX(CONST_MonitoringApproach,3)))</f>
        <v>1</v>
      </c>
      <c r="BS17" s="102" t="str">
        <f t="shared" ref="BS17:BS48" si="31">IF($D17&lt;&gt;INDEX(CONST_MonitoringApproach,1),"", AND(COUNTA($E17,$G17,$K17)=3,COUNT($F17,$J17)=2,IF($K17=CONST_tCO2pTJ,ISNUMBER($H17),TRUE)))</f>
        <v/>
      </c>
      <c r="BT17" s="102" t="b">
        <f t="shared" ref="BT17:BT48" si="32">IF($D17&lt;&gt;INDEX(CONST_MonitoringApproach,2),"", AND(COUNTA($E17,$G17,$K17)=3,COUNT($F17,$J17)=2,IF($K17=CONST_tCO2pTJ,ISNUMBER($H17),TRUE)))</f>
        <v>1</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t="s">
        <v>93</v>
      </c>
      <c r="E18" s="540" t="s">
        <v>4271</v>
      </c>
      <c r="F18" s="854">
        <v>88000</v>
      </c>
      <c r="G18" s="542" t="s">
        <v>95</v>
      </c>
      <c r="H18" s="541">
        <v>25</v>
      </c>
      <c r="I18" s="543" t="str">
        <f t="shared" si="0"/>
        <v>GJ/t</v>
      </c>
      <c r="J18" s="541">
        <v>95</v>
      </c>
      <c r="K18" s="544" t="s">
        <v>97</v>
      </c>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f t="shared" si="17"/>
        <v>209000</v>
      </c>
      <c r="AV18" s="549">
        <f t="shared" ref="AV18:AV81" si="35">IF(ISNUMBER(AU18),SUM(BH18:BJ18),"")</f>
        <v>0</v>
      </c>
      <c r="AW18" s="547"/>
      <c r="AX18" s="550">
        <f t="shared" ref="AX18:AX81" si="36">IF($D18="","",$F18*$H18/1000*(1-$R18/100))</f>
        <v>2200</v>
      </c>
      <c r="AY18" s="550">
        <f t="shared" ref="AY18:AY81" si="37">IF($D18="","",$F18*$H18/1000*($R18/100))</f>
        <v>0</v>
      </c>
      <c r="BA18" s="102" t="str">
        <f t="shared" si="18"/>
        <v>SUM_CO2</v>
      </c>
      <c r="BD18" s="124">
        <f t="shared" si="19"/>
        <v>209000</v>
      </c>
      <c r="BE18" s="124" t="str">
        <f t="shared" si="20"/>
        <v/>
      </c>
      <c r="BF18" s="124" t="str">
        <f t="shared" si="21"/>
        <v/>
      </c>
      <c r="BH18" s="124">
        <f t="shared" si="22"/>
        <v>0</v>
      </c>
      <c r="BI18" s="124" t="str">
        <f t="shared" si="23"/>
        <v/>
      </c>
      <c r="BJ18" s="124" t="str">
        <f t="shared" si="24"/>
        <v/>
      </c>
      <c r="BK18" s="125"/>
      <c r="BL18" s="124" t="b">
        <f t="shared" si="25"/>
        <v>0</v>
      </c>
      <c r="BM18" s="124" t="b">
        <f t="shared" si="26"/>
        <v>1</v>
      </c>
      <c r="BN18" s="124" t="b">
        <f t="shared" si="27"/>
        <v>0</v>
      </c>
      <c r="BO18" s="124" t="b">
        <f t="shared" si="28"/>
        <v>1</v>
      </c>
      <c r="BP18" s="102" t="b">
        <f t="shared" si="29"/>
        <v>0</v>
      </c>
      <c r="BQ18" s="125"/>
      <c r="BR18" s="102" t="b">
        <f t="shared" si="30"/>
        <v>1</v>
      </c>
      <c r="BS18" s="102" t="b">
        <f t="shared" si="31"/>
        <v>1</v>
      </c>
      <c r="BT18" s="102" t="str">
        <f t="shared" si="32"/>
        <v/>
      </c>
      <c r="BU18" s="102" t="str">
        <f t="shared" si="33"/>
        <v/>
      </c>
      <c r="BW18" s="124" t="b">
        <f t="shared" si="34"/>
        <v>0</v>
      </c>
    </row>
    <row r="19" spans="3:75" ht="12.75" customHeight="1" x14ac:dyDescent="0.25">
      <c r="C19" s="539">
        <v>3</v>
      </c>
      <c r="D19" s="540" t="s">
        <v>93</v>
      </c>
      <c r="E19" s="540" t="s">
        <v>4272</v>
      </c>
      <c r="F19" s="854">
        <v>25000</v>
      </c>
      <c r="G19" s="542" t="s">
        <v>95</v>
      </c>
      <c r="H19" s="541">
        <v>20</v>
      </c>
      <c r="I19" s="543" t="str">
        <f t="shared" si="0"/>
        <v>GJ/t</v>
      </c>
      <c r="J19" s="541">
        <v>83</v>
      </c>
      <c r="K19" s="544" t="s">
        <v>97</v>
      </c>
      <c r="L19" s="741"/>
      <c r="M19" s="545" t="str">
        <f t="shared" si="16"/>
        <v/>
      </c>
      <c r="N19" s="829"/>
      <c r="O19" s="993" t="s">
        <v>99</v>
      </c>
      <c r="P19" s="829"/>
      <c r="Q19" s="993" t="s">
        <v>99</v>
      </c>
      <c r="R19" s="829">
        <v>15</v>
      </c>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f t="shared" si="17"/>
        <v>35275</v>
      </c>
      <c r="AV19" s="549">
        <f t="shared" si="35"/>
        <v>6225</v>
      </c>
      <c r="AW19" s="547"/>
      <c r="AX19" s="550">
        <f t="shared" si="36"/>
        <v>425</v>
      </c>
      <c r="AY19" s="550">
        <f t="shared" si="37"/>
        <v>75</v>
      </c>
      <c r="BA19" s="102" t="str">
        <f t="shared" si="18"/>
        <v>SUM_CO2</v>
      </c>
      <c r="BD19" s="124">
        <f t="shared" si="19"/>
        <v>35275</v>
      </c>
      <c r="BE19" s="124" t="str">
        <f t="shared" si="20"/>
        <v/>
      </c>
      <c r="BF19" s="124" t="str">
        <f t="shared" si="21"/>
        <v/>
      </c>
      <c r="BH19" s="124">
        <f t="shared" si="22"/>
        <v>6225</v>
      </c>
      <c r="BI19" s="124" t="str">
        <f t="shared" si="23"/>
        <v/>
      </c>
      <c r="BJ19" s="124" t="str">
        <f t="shared" si="24"/>
        <v/>
      </c>
      <c r="BK19" s="125"/>
      <c r="BL19" s="124" t="b">
        <f t="shared" si="25"/>
        <v>0</v>
      </c>
      <c r="BM19" s="124" t="b">
        <f t="shared" si="26"/>
        <v>1</v>
      </c>
      <c r="BN19" s="124" t="b">
        <f t="shared" si="27"/>
        <v>0</v>
      </c>
      <c r="BO19" s="124" t="b">
        <f t="shared" si="28"/>
        <v>1</v>
      </c>
      <c r="BP19" s="102" t="b">
        <f t="shared" si="29"/>
        <v>0</v>
      </c>
      <c r="BQ19" s="125"/>
      <c r="BR19" s="102" t="b">
        <f t="shared" si="30"/>
        <v>1</v>
      </c>
      <c r="BS19" s="102" t="b">
        <f t="shared" si="31"/>
        <v>1</v>
      </c>
      <c r="BT19" s="102" t="str">
        <f t="shared" si="32"/>
        <v/>
      </c>
      <c r="BU19" s="102" t="str">
        <f t="shared" si="33"/>
        <v/>
      </c>
      <c r="BW19" s="124" t="b">
        <f t="shared" si="34"/>
        <v>0</v>
      </c>
    </row>
    <row r="20" spans="3:75" ht="12.75" customHeight="1" x14ac:dyDescent="0.25">
      <c r="C20" s="539">
        <v>4</v>
      </c>
      <c r="D20" s="540" t="s">
        <v>93</v>
      </c>
      <c r="E20" s="540" t="s">
        <v>94</v>
      </c>
      <c r="F20" s="854">
        <v>43000</v>
      </c>
      <c r="G20" s="542" t="s">
        <v>95</v>
      </c>
      <c r="H20" s="541">
        <v>40</v>
      </c>
      <c r="I20" s="543" t="str">
        <f t="shared" si="0"/>
        <v>GJ/t</v>
      </c>
      <c r="J20" s="541">
        <v>78</v>
      </c>
      <c r="K20" s="544" t="s">
        <v>97</v>
      </c>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f t="shared" si="17"/>
        <v>134160</v>
      </c>
      <c r="AV20" s="549">
        <f t="shared" si="35"/>
        <v>0</v>
      </c>
      <c r="AW20" s="547"/>
      <c r="AX20" s="550">
        <f t="shared" si="36"/>
        <v>1720</v>
      </c>
      <c r="AY20" s="550">
        <f t="shared" si="37"/>
        <v>0</v>
      </c>
      <c r="BA20" s="102" t="str">
        <f t="shared" si="18"/>
        <v>SUM_CO2</v>
      </c>
      <c r="BD20" s="124">
        <f t="shared" si="19"/>
        <v>134160</v>
      </c>
      <c r="BE20" s="124" t="str">
        <f t="shared" si="20"/>
        <v/>
      </c>
      <c r="BF20" s="124" t="str">
        <f t="shared" si="21"/>
        <v/>
      </c>
      <c r="BH20" s="124">
        <f t="shared" si="22"/>
        <v>0</v>
      </c>
      <c r="BI20" s="124" t="str">
        <f t="shared" si="23"/>
        <v/>
      </c>
      <c r="BJ20" s="124" t="str">
        <f t="shared" si="24"/>
        <v/>
      </c>
      <c r="BK20" s="125"/>
      <c r="BL20" s="124" t="b">
        <f t="shared" si="25"/>
        <v>0</v>
      </c>
      <c r="BM20" s="124" t="b">
        <f t="shared" si="26"/>
        <v>1</v>
      </c>
      <c r="BN20" s="124" t="b">
        <f t="shared" si="27"/>
        <v>0</v>
      </c>
      <c r="BO20" s="124" t="b">
        <f t="shared" si="28"/>
        <v>1</v>
      </c>
      <c r="BP20" s="102" t="b">
        <f t="shared" si="29"/>
        <v>0</v>
      </c>
      <c r="BQ20" s="125"/>
      <c r="BR20" s="102" t="b">
        <f t="shared" si="30"/>
        <v>1</v>
      </c>
      <c r="BS20" s="102" t="b">
        <f t="shared" si="31"/>
        <v>1</v>
      </c>
      <c r="BT20" s="102" t="str">
        <f t="shared" si="32"/>
        <v/>
      </c>
      <c r="BU20" s="102" t="str">
        <f t="shared" si="33"/>
        <v/>
      </c>
      <c r="BW20" s="124" t="b">
        <f t="shared" si="34"/>
        <v>0</v>
      </c>
    </row>
    <row r="21" spans="3:75" ht="12.75" customHeight="1" x14ac:dyDescent="0.25">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1</v>
      </c>
    </row>
    <row r="22" spans="3:75" ht="12.75" customHeight="1" x14ac:dyDescent="0.25">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1</v>
      </c>
    </row>
    <row r="23" spans="3:75" ht="12.75" customHeight="1" x14ac:dyDescent="0.25">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1</v>
      </c>
    </row>
    <row r="24" spans="3:75" ht="12.75" customHeight="1" x14ac:dyDescent="0.25">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1</v>
      </c>
    </row>
    <row r="25" spans="3:75" ht="12.75" customHeight="1" x14ac:dyDescent="0.25">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1</v>
      </c>
    </row>
    <row r="26" spans="3:75" ht="12.75" customHeight="1" x14ac:dyDescent="0.25">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1</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1</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1</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1</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1</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1</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1</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1</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1</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1</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1</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1</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48" priority="14">
      <formula>$BM17</formula>
    </cfRule>
  </conditionalFormatting>
  <conditionalFormatting sqref="N17:O91">
    <cfRule type="expression" dxfId="547" priority="13">
      <formula>$BN17</formula>
    </cfRule>
  </conditionalFormatting>
  <conditionalFormatting sqref="P17:Q91">
    <cfRule type="expression" dxfId="546" priority="12">
      <formula>$BO17</formula>
    </cfRule>
  </conditionalFormatting>
  <conditionalFormatting sqref="E17:AY91">
    <cfRule type="expression" dxfId="545" priority="4">
      <formula>$BW17</formula>
    </cfRule>
  </conditionalFormatting>
  <conditionalFormatting sqref="J17:K91">
    <cfRule type="expression" dxfId="544" priority="11">
      <formula>$BL17</formula>
    </cfRule>
  </conditionalFormatting>
  <conditionalFormatting sqref="D98:AY107">
    <cfRule type="expression" dxfId="543" priority="8">
      <formula>$BW98</formula>
    </cfRule>
  </conditionalFormatting>
  <conditionalFormatting sqref="AJ98:AL107">
    <cfRule type="expression" dxfId="542" priority="7">
      <formula>$BK98=1</formula>
    </cfRule>
  </conditionalFormatting>
  <conditionalFormatting sqref="AG98:AI107">
    <cfRule type="expression" dxfId="541" priority="6">
      <formula>$BK98=2</formula>
    </cfRule>
  </conditionalFormatting>
  <conditionalFormatting sqref="AU17:AU91">
    <cfRule type="expression" dxfId="540" priority="5">
      <formula>NOT(ISNUMBER(AU17))</formula>
    </cfRule>
  </conditionalFormatting>
  <conditionalFormatting sqref="H17:H91">
    <cfRule type="expression" dxfId="539" priority="10">
      <formula>$BP17</formula>
    </cfRule>
  </conditionalFormatting>
  <conditionalFormatting sqref="E98:AY107">
    <cfRule type="expression" dxfId="538" priority="3">
      <formula>$BL98=TRUE</formula>
    </cfRule>
  </conditionalFormatting>
  <conditionalFormatting sqref="AN98:AN107">
    <cfRule type="expression" dxfId="537" priority="2">
      <formula>NOT(ISNUMBER(AN98))</formula>
    </cfRule>
  </conditionalFormatting>
  <conditionalFormatting sqref="E113:AY122">
    <cfRule type="expression" dxfId="536"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topLeftCell="B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75" t="str">
        <f>Translations!$B$212</f>
        <v>Energy &amp; Emissions</v>
      </c>
      <c r="C2" s="1176"/>
      <c r="D2" s="1177"/>
      <c r="E2" s="1184" t="str">
        <f>Translations!$B$11</f>
        <v>Navigation Area:</v>
      </c>
      <c r="F2" s="1185"/>
      <c r="G2" s="1186" t="str">
        <f ca="1">HYPERLINK("#"&amp;ADDRESS(2,3,,,a_Contents!$U$2),a_Contents!$B$2)</f>
        <v>Table of contents</v>
      </c>
      <c r="H2" s="1187"/>
      <c r="I2" s="1186" t="str">
        <f ca="1">HYPERLINK("#"&amp;ADDRESS(2,3,,,G_FurtherGuidance!$U$2),G_FurtherGuidance!$B$2)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78"/>
      <c r="C3" s="1179"/>
      <c r="D3" s="1180"/>
      <c r="E3" s="1171"/>
      <c r="F3" s="1171"/>
      <c r="G3" s="1171" t="str">
        <f>IFERROR(HYPERLINK("#"&amp;ADDRESS(ROW($A$1)+MATCH(R3,$A:$A,0)-1,3),INDEX($R:$R,MATCH(R3,$A:$A,0))),"")</f>
        <v>Fuel balance</v>
      </c>
      <c r="H3" s="1171"/>
      <c r="I3" s="1171" t="str">
        <f>IFERROR(HYPERLINK("#"&amp;ADDRESS(ROW($A$1)+MATCH(T3,$A:$A,0)-1,3),INDEX($R:$R,MATCH(T3,$A:$A,0))),"")</f>
        <v>GHG balance &amp; data quality</v>
      </c>
      <c r="J3" s="1171"/>
      <c r="K3" s="1171"/>
      <c r="L3" s="1171"/>
      <c r="M3" s="1171"/>
      <c r="N3" s="1171"/>
      <c r="O3" s="428"/>
      <c r="P3" s="144"/>
      <c r="R3" s="302">
        <v>1</v>
      </c>
      <c r="S3" s="303"/>
      <c r="T3" s="303">
        <v>2</v>
      </c>
      <c r="U3" s="303"/>
      <c r="V3" s="303"/>
      <c r="W3" s="303"/>
      <c r="X3" s="304"/>
    </row>
    <row r="4" spans="1:24" ht="14.1" customHeight="1" thickBot="1" x14ac:dyDescent="0.35">
      <c r="A4" s="92"/>
      <c r="B4" s="1181"/>
      <c r="C4" s="1182"/>
      <c r="D4" s="1183"/>
      <c r="E4" s="1171"/>
      <c r="F4" s="1171"/>
      <c r="G4" s="1171"/>
      <c r="H4" s="1171"/>
      <c r="I4" s="1171"/>
      <c r="J4" s="1171"/>
      <c r="K4" s="1171"/>
      <c r="L4" s="1171"/>
      <c r="M4" s="1171"/>
      <c r="N4" s="1171"/>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289" t="str">
        <f>Translations!$B$217</f>
        <v>Fuel input to all CBAM production processes (including precursors produced within the installation), either directly or via the production of measurable heat (e.g. steam) with the exception of fuel for electricity.</v>
      </c>
      <c r="F11" s="1289"/>
      <c r="G11" s="1289"/>
      <c r="H11" s="1289"/>
      <c r="I11" s="1289"/>
      <c r="J11" s="1289"/>
      <c r="K11" s="1289"/>
      <c r="L11" s="1289"/>
      <c r="M11" s="1289"/>
      <c r="N11" s="1289"/>
      <c r="O11" s="428"/>
      <c r="P11" s="144"/>
    </row>
    <row r="12" spans="1:24" ht="12.75" customHeight="1" x14ac:dyDescent="0.3">
      <c r="A12" s="92"/>
      <c r="B12" s="144"/>
      <c r="C12" s="144"/>
      <c r="D12" s="939" t="s">
        <v>206</v>
      </c>
      <c r="E12" s="1290" t="str">
        <f>Translations!$B$218</f>
        <v>Fuel input for electricity production</v>
      </c>
      <c r="F12" s="1291"/>
      <c r="G12" s="1291"/>
      <c r="H12" s="1291"/>
      <c r="I12" s="1291"/>
      <c r="J12" s="1291"/>
      <c r="K12" s="1291"/>
      <c r="L12" s="1291"/>
      <c r="M12" s="1291"/>
      <c r="N12" s="1291"/>
      <c r="O12" s="428"/>
      <c r="P12" s="144"/>
    </row>
    <row r="13" spans="1:24" ht="12.75" customHeight="1" x14ac:dyDescent="0.3">
      <c r="A13" s="92"/>
      <c r="B13" s="144"/>
      <c r="C13" s="144"/>
      <c r="D13" s="939" t="s">
        <v>206</v>
      </c>
      <c r="E13" s="1290" t="str">
        <f>Translations!$B$219</f>
        <v>Fuel input to all non-CBAM production processes, either directly or via the production of measurable heat (e.g. steam).</v>
      </c>
      <c r="F13" s="1291"/>
      <c r="G13" s="1291"/>
      <c r="H13" s="1291"/>
      <c r="I13" s="1291"/>
      <c r="J13" s="1291"/>
      <c r="K13" s="1291"/>
      <c r="L13" s="1291"/>
      <c r="M13" s="1291"/>
      <c r="N13" s="1291"/>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4420</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f>H15</f>
        <v>4420</v>
      </c>
      <c r="J16" s="146"/>
      <c r="K16" s="146"/>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4420</v>
      </c>
      <c r="I17" s="296">
        <f>IF(I16="","",I16)</f>
        <v>4420</v>
      </c>
      <c r="J17" s="296" t="str">
        <f>IF(J16="","",J16)</f>
        <v/>
      </c>
      <c r="K17" s="296" t="str">
        <f>IF(K16="","",K16)</f>
        <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31" t="str">
        <f>Translations!$B$1850</f>
        <v>GHG balance by type of GHG</v>
      </c>
      <c r="F21" s="1231"/>
      <c r="G21" s="1231"/>
      <c r="H21" s="1231"/>
      <c r="I21" s="1231"/>
      <c r="J21" s="1231"/>
      <c r="K21" s="1231"/>
      <c r="L21" s="1231"/>
      <c r="M21" s="1231"/>
      <c r="N21" s="1231"/>
      <c r="O21" s="428"/>
      <c r="P21" s="144"/>
    </row>
    <row r="22" spans="1:24" ht="25.5" customHeight="1" x14ac:dyDescent="0.3">
      <c r="A22" s="92"/>
      <c r="B22" s="144"/>
      <c r="C22" s="144"/>
      <c r="D22" s="144"/>
      <c r="E22" s="1234" t="str">
        <f>Translations!$B$231</f>
        <v>Values below are taken automatically from entries in sheet "B_EmInst". If entries made in that sheet are incomplete, please enter the total emissions figures manually under ii. to override automatic results displayed under i.</v>
      </c>
      <c r="F22" s="1234"/>
      <c r="G22" s="1234"/>
      <c r="H22" s="1234"/>
      <c r="I22" s="1234"/>
      <c r="J22" s="1234"/>
      <c r="K22" s="1234"/>
      <c r="L22" s="1234"/>
      <c r="M22" s="1234"/>
      <c r="N22" s="1234"/>
      <c r="O22" s="428"/>
      <c r="P22" s="144"/>
    </row>
    <row r="23" spans="1:24" ht="13.2" customHeight="1" x14ac:dyDescent="0.3">
      <c r="A23" s="92"/>
      <c r="B23" s="144"/>
      <c r="C23" s="144"/>
      <c r="D23" s="144"/>
      <c r="E23" s="1234" t="str">
        <f>Translations!$B$1965</f>
        <v>The entry of total indirect emissions must always be entered manually.</v>
      </c>
      <c r="F23" s="1234"/>
      <c r="G23" s="1234"/>
      <c r="H23" s="1234"/>
      <c r="I23" s="1234"/>
      <c r="J23" s="1234"/>
      <c r="K23" s="1234"/>
      <c r="L23" s="1234"/>
      <c r="M23" s="1234"/>
      <c r="N23" s="1234"/>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1037310</v>
      </c>
      <c r="I25" s="135">
        <f>IF(CNTR_HasEntriesA,SUMIFS(B_EmInst!AV:AV,B_EmInst!$BA:$BA,CONST_CNTR_SUM_CO2),"")</f>
        <v>6225</v>
      </c>
      <c r="J25" s="135">
        <f>IF(CNTR_HasEntriesA,SUMIFS(B_EmInst!$AU:$AU,B_EmInst!$BA:$BA,CONST_CNTR_SUM_N2O),"")</f>
        <v>0</v>
      </c>
      <c r="K25" s="135">
        <f>IF(CNTR_HasEntriesA,SUMIFS(B_EmInst!$AU:$AU,B_EmInst!$BA:$BA,CONST_CNTR_SUM_PFC),"")</f>
        <v>0</v>
      </c>
      <c r="L25" s="135">
        <f>IF(COUNT(H25:K25)&gt;0,SUM(H25,J25:K25),"")</f>
        <v>1037310</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v>161489.1</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1037310</v>
      </c>
      <c r="I27" s="140">
        <f>IF(CNTR_HasEntriesA,IF(I26="",I25,I26),"")</f>
        <v>6225</v>
      </c>
      <c r="J27" s="140">
        <f>IF(CNTR_HasEntriesA,IF(J26="",J25,J26),"")</f>
        <v>0</v>
      </c>
      <c r="K27" s="140">
        <f>IF(CNTR_HasEntriesA,IF(K26="",K25,K26),"")</f>
        <v>0</v>
      </c>
      <c r="L27" s="140">
        <f>IF(CNTR_HasEntriesA,SUM(H27,J27:K27),"")</f>
        <v>1037310</v>
      </c>
      <c r="M27" s="140">
        <f>IF(M26="","",M26)</f>
        <v>161489.1</v>
      </c>
      <c r="N27" s="140">
        <f>IF(COUNT(L27:M27)&gt;0,SUM(L27:M27),"")</f>
        <v>1198799.1000000001</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31" t="str">
        <f>Translations!$B$1851</f>
        <v>GHG balance by type of monitoring methodology</v>
      </c>
      <c r="F29" s="1231"/>
      <c r="G29" s="1231"/>
      <c r="H29" s="1231"/>
      <c r="I29" s="1231"/>
      <c r="J29" s="1231"/>
      <c r="K29" s="1231"/>
      <c r="L29" s="1231"/>
      <c r="M29" s="1231"/>
      <c r="N29" s="1231"/>
      <c r="O29" s="428"/>
      <c r="P29" s="144"/>
    </row>
    <row r="30" spans="1:24" ht="12.75" customHeight="1" x14ac:dyDescent="0.3">
      <c r="A30" s="92"/>
      <c r="B30" s="144"/>
      <c r="C30" s="144"/>
      <c r="D30" s="144"/>
      <c r="E30" s="1289" t="str">
        <f>Translations!$B$1852</f>
        <v>Values below are taken automatically from entries in sheet "B_EmInst" and point (a) above.</v>
      </c>
      <c r="F30" s="1289"/>
      <c r="G30" s="1289"/>
      <c r="H30" s="1289"/>
      <c r="I30" s="1289"/>
      <c r="J30" s="1289"/>
      <c r="K30" s="1289"/>
      <c r="L30" s="1289"/>
      <c r="M30" s="1289"/>
      <c r="N30" s="1289"/>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1037310</v>
      </c>
      <c r="I32" s="140">
        <f>IF(CNTR_HasEntriesA,K27,"")</f>
        <v>0</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31" t="str">
        <f>Translations!$B$1855</f>
        <v>Information on the data quality and quality assurance</v>
      </c>
      <c r="F34" s="1231"/>
      <c r="G34" s="1231"/>
      <c r="H34" s="1231"/>
      <c r="I34" s="1231"/>
      <c r="J34" s="1231"/>
      <c r="K34" s="1231"/>
      <c r="L34" s="1231"/>
      <c r="M34" s="1231"/>
      <c r="N34" s="1231"/>
      <c r="O34" s="428"/>
      <c r="P34" s="144"/>
    </row>
    <row r="35" spans="1:24" ht="5.0999999999999996" customHeight="1" x14ac:dyDescent="0.3">
      <c r="A35" s="92"/>
      <c r="B35" s="144"/>
      <c r="C35" s="144"/>
      <c r="D35" s="144"/>
      <c r="E35" s="1292"/>
      <c r="F35" s="1292"/>
      <c r="G35" s="1292"/>
      <c r="H35" s="1292"/>
      <c r="I35" s="1292"/>
      <c r="J35" s="1292"/>
      <c r="K35" s="1292"/>
      <c r="L35" s="1292"/>
      <c r="M35" s="1292"/>
      <c r="N35" s="1292"/>
      <c r="O35" s="428"/>
      <c r="P35" s="144"/>
    </row>
    <row r="36" spans="1:24" ht="25.5" customHeight="1" x14ac:dyDescent="0.25">
      <c r="A36" s="92"/>
      <c r="B36" s="144"/>
      <c r="C36" s="144"/>
      <c r="D36" s="144"/>
      <c r="E36" s="804" t="str">
        <f>Translations!$B$1856</f>
        <v>General information on data quality:</v>
      </c>
      <c r="F36" s="1301" t="str">
        <f>Translations!$B$1857</f>
        <v>Please select from the hierarchical order (descending order) in the drop-down list the predominant approach for determining the installation's direct emissions.</v>
      </c>
      <c r="G36" s="1301"/>
      <c r="H36" s="1301"/>
      <c r="I36" s="1301"/>
      <c r="J36" s="1301"/>
      <c r="K36" s="1301"/>
      <c r="L36" s="1301"/>
      <c r="M36" s="1302"/>
      <c r="N36" s="1302"/>
      <c r="O36" s="428"/>
      <c r="P36" s="144"/>
      <c r="S36" s="110"/>
    </row>
    <row r="37" spans="1:24" ht="25.5" customHeight="1" x14ac:dyDescent="0.25">
      <c r="A37" s="92"/>
      <c r="B37" s="144"/>
      <c r="C37" s="144"/>
      <c r="D37" s="144"/>
      <c r="E37" s="805" t="str">
        <f>Translations!$B$1858</f>
        <v>Justification for use of default values (if relevant):</v>
      </c>
      <c r="F37" s="1303" t="str">
        <f>Translations!$B$1859</f>
        <v>If the predominant method was to use default values published by the European Commission, please select from the drop-down list the most appropriate justification for not achieving higher data quality.</v>
      </c>
      <c r="G37" s="1304"/>
      <c r="H37" s="1304"/>
      <c r="I37" s="1304"/>
      <c r="J37" s="1304"/>
      <c r="K37" s="1304"/>
      <c r="L37" s="1304"/>
      <c r="M37" s="1304"/>
      <c r="N37" s="1304"/>
      <c r="O37" s="428"/>
      <c r="P37" s="144"/>
      <c r="S37" s="110"/>
    </row>
    <row r="38" spans="1:24" ht="25.5" customHeight="1" x14ac:dyDescent="0.25">
      <c r="A38" s="92"/>
      <c r="B38" s="144"/>
      <c r="C38" s="144"/>
      <c r="D38" s="144"/>
      <c r="E38" s="806" t="str">
        <f>Translations!$B$1860</f>
        <v>Information on quality assurance:</v>
      </c>
      <c r="F38" s="1305" t="str">
        <f>Translations!$B$1886</f>
        <v>Please select from the hierarchical order (descending order) in the drop-down list the approach for quality assurance of emissions data.</v>
      </c>
      <c r="G38" s="1306"/>
      <c r="H38" s="1306"/>
      <c r="I38" s="1306"/>
      <c r="J38" s="1306"/>
      <c r="K38" s="1306"/>
      <c r="L38" s="1306"/>
      <c r="M38" s="1306"/>
      <c r="N38" s="1306"/>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3" t="s">
        <v>3042</v>
      </c>
      <c r="I40" s="1294"/>
      <c r="J40" s="1294"/>
      <c r="K40" s="1294"/>
      <c r="L40" s="1294"/>
      <c r="M40" s="1294"/>
      <c r="N40" s="1295"/>
      <c r="O40" s="428"/>
      <c r="P40" s="144"/>
      <c r="R40" s="105">
        <f>IF(H40="","",MATCH(H40,CONST_DataQuality,0))</f>
        <v>1</v>
      </c>
    </row>
    <row r="41" spans="1:24" ht="12.75" customHeight="1" x14ac:dyDescent="0.3">
      <c r="A41" s="92"/>
      <c r="B41" s="144"/>
      <c r="C41" s="144"/>
      <c r="D41" s="166" t="s">
        <v>42</v>
      </c>
      <c r="E41" s="136" t="str">
        <f>Translations!$B$1858</f>
        <v>Justification for use of default values (if relevant):</v>
      </c>
      <c r="F41" s="136"/>
      <c r="G41" s="136"/>
      <c r="H41" s="1296"/>
      <c r="I41" s="1297"/>
      <c r="J41" s="1297"/>
      <c r="K41" s="1297"/>
      <c r="L41" s="1297"/>
      <c r="M41" s="1297"/>
      <c r="N41" s="1298"/>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9" t="s">
        <v>3049</v>
      </c>
      <c r="I42" s="1300"/>
      <c r="J42" s="1300"/>
      <c r="K42" s="1300"/>
      <c r="L42" s="1300"/>
      <c r="M42" s="1300"/>
      <c r="N42" s="1300"/>
      <c r="O42" s="428"/>
      <c r="P42" s="144"/>
      <c r="R42" s="105">
        <f>IF(H42="","",MATCH(H42,CONST_DataVerification,0))</f>
        <v>2</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535"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topLeftCell="B1"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75" t="str">
        <f>Translations!$B$240</f>
        <v>Production processes</v>
      </c>
      <c r="C2" s="1176"/>
      <c r="D2" s="1177"/>
      <c r="E2" s="1320" t="str">
        <f>Translations!$B$11</f>
        <v>Navigation Area:</v>
      </c>
      <c r="F2" s="1185"/>
      <c r="G2" s="1186" t="str">
        <f ca="1">HYPERLINK("#"&amp;ADDRESS(2,3,,,a_Contents!$U$2),a_Contents!$B$2)</f>
        <v>Table of contents</v>
      </c>
      <c r="H2" s="1187"/>
      <c r="I2" s="1186" t="str">
        <f ca="1">HYPERLINK("#"&amp;ADDRESS(MATCH($S13,G_FurtherGuidance!$S:$S,0),3,,,G_FurtherGuidance!$U$2),G_FurtherGuidance!$B$2)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78"/>
      <c r="C3" s="1179"/>
      <c r="D3" s="1180"/>
      <c r="E3" s="1317"/>
      <c r="F3" s="1318"/>
      <c r="G3" s="1319" t="str">
        <f>IF(INDEX(CNTR_List_ExistProdProcNames,R3)=CONST_NA,"",HYPERLINK("#"&amp;ADDRESS(ROW($C$11)+MATCH(R3,$C$11:$C$662,0)-1,COLUMN($C$11)),INDEX(CNTR_List_ExistProdProcNames,R3)))</f>
        <v>Cement Bubble</v>
      </c>
      <c r="H3" s="1318"/>
      <c r="I3" s="1319" t="str">
        <f>IF(INDEX(CNTR_List_ExistProdProcNames,T3)=CONST_NA,"",HYPERLINK("#"&amp;ADDRESS(ROW($C$11)+MATCH(T3,$C$11:$C$662,0)-1,COLUMN($C$11)),INDEX(CNTR_List_ExistProdProcNames,T3)))</f>
        <v/>
      </c>
      <c r="J3" s="1318"/>
      <c r="K3" s="1318" t="str">
        <f>IF(INDEX(CNTR_List_ExistProdProcNames,V3)=CONST_NA,"",HYPERLINK("#"&amp;ADDRESS(ROW($C$11)+MATCH(V3,$C$11:$C$662,0)-1,COLUMN($C$11)),INDEX(CNTR_List_ExistProdProcNames,V3)))</f>
        <v/>
      </c>
      <c r="L3" s="1318"/>
      <c r="M3" s="1318" t="str">
        <f>IF(INDEX(CNTR_List_ExistProdProcNames,X3)=CONST_NA,"",HYPERLINK("#"&amp;ADDRESS(ROW($C$11)+MATCH(X3,$C$11:$C$662,0)-1,COLUMN($C$11)),INDEX(CNTR_List_ExistProdProcNames,X3)))</f>
        <v/>
      </c>
      <c r="N3" s="1318"/>
      <c r="O3" s="901"/>
      <c r="P3" s="144"/>
      <c r="R3" s="302">
        <v>1</v>
      </c>
      <c r="S3" s="303"/>
      <c r="T3" s="303">
        <v>2</v>
      </c>
      <c r="U3" s="303"/>
      <c r="V3" s="303">
        <v>3</v>
      </c>
      <c r="W3" s="303"/>
      <c r="X3" s="304">
        <v>4</v>
      </c>
    </row>
    <row r="4" spans="1:24" ht="14.1" customHeight="1" x14ac:dyDescent="0.3">
      <c r="B4" s="1178"/>
      <c r="C4" s="1179"/>
      <c r="D4" s="1180"/>
      <c r="E4" s="1321"/>
      <c r="F4" s="1171"/>
      <c r="G4" s="1171" t="str">
        <f>IF(INDEX(CNTR_List_ExistProdProcNames,R4)=CONST_NA,"",HYPERLINK("#"&amp;ADDRESS(ROW($C$11)+MATCH(R4,$C$11:$C$662,0)-1,COLUMN($C$11)),INDEX(CNTR_List_ExistProdProcNames,R4)))</f>
        <v/>
      </c>
      <c r="H4" s="1171"/>
      <c r="I4" s="1171" t="str">
        <f>IF(INDEX(CNTR_List_ExistProdProcNames,T4)=CONST_NA,"",HYPERLINK("#"&amp;ADDRESS(ROW($C$11)+MATCH(T4,$C$11:$C$662,0)-1,COLUMN($C$11)),INDEX(CNTR_List_ExistProdProcNames,T4)))</f>
        <v/>
      </c>
      <c r="J4" s="1171"/>
      <c r="K4" s="1171" t="str">
        <f>IF(INDEX(CNTR_List_ExistProdProcNames,V4)=CONST_NA,"",HYPERLINK("#"&amp;ADDRESS(ROW($C$11)+MATCH(V4,$C$11:$C$662,0)-1,COLUMN($C$11)),INDEX(CNTR_List_ExistProdProcNames,V4)))</f>
        <v/>
      </c>
      <c r="L4" s="1171"/>
      <c r="M4" s="1171" t="str">
        <f>IF(INDEX(CNTR_List_ExistProdProcNames,X4)=CONST_NA,"",HYPERLINK("#"&amp;ADDRESS(ROW($C$11)+MATCH(X4,$C$11:$C$662,0)-1,COLUMN($C$11)),INDEX(CNTR_List_ExistProdProcNames,X4)))</f>
        <v/>
      </c>
      <c r="N4" s="1171"/>
      <c r="O4" s="901"/>
      <c r="P4" s="144"/>
      <c r="R4" s="305">
        <v>5</v>
      </c>
      <c r="S4" s="156"/>
      <c r="T4" s="156">
        <v>6</v>
      </c>
      <c r="U4" s="156"/>
      <c r="V4" s="156">
        <v>7</v>
      </c>
      <c r="W4" s="156"/>
      <c r="X4" s="306">
        <v>8</v>
      </c>
    </row>
    <row r="5" spans="1:24" ht="14.1" customHeight="1" thickBot="1" x14ac:dyDescent="0.35">
      <c r="B5" s="1181"/>
      <c r="C5" s="1182"/>
      <c r="D5" s="1183"/>
      <c r="E5" s="1321"/>
      <c r="F5" s="1171"/>
      <c r="G5" s="1171" t="str">
        <f>IF(INDEX(CNTR_List_ExistProdProcNames,R5)=CONST_NA,"",HYPERLINK("#"&amp;ADDRESS(ROW($C$11)+MATCH(R5,$C$11:$C$662,0)-1,COLUMN($C$11)),INDEX(CNTR_List_ExistProdProcNames,R5)))</f>
        <v/>
      </c>
      <c r="H5" s="1171"/>
      <c r="I5" s="1171" t="str">
        <f>IF(INDEX(CNTR_List_ExistProdProcNames,T5)=CONST_NA,"",HYPERLINK("#"&amp;ADDRESS(ROW($C$11)+MATCH(T5,$C$11:$C$662,0)-1,COLUMN($C$11)),INDEX(CNTR_List_ExistProdProcNames,T5)))</f>
        <v/>
      </c>
      <c r="J5" s="1171"/>
      <c r="K5" s="1171"/>
      <c r="L5" s="1171"/>
      <c r="M5" s="1171"/>
      <c r="N5" s="1171"/>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10" t="str">
        <f>IF(INDEX(CNTR_List_ExistProdProcNames,R11)=CONST_NA,"",INDEX(CNTR_List_ExistProdProcNames,R11))</f>
        <v>Cement Bubble</v>
      </c>
      <c r="H11" s="1311"/>
      <c r="I11" s="1311"/>
      <c r="J11" s="1311"/>
      <c r="K11" s="1312"/>
      <c r="L11" s="1313" t="str">
        <f>IF(INDEX(CNTR_List_ExistProdProc,R11)=CONST_NA,"",INDEX(CNTR_List_ExistProdProc,R11))</f>
        <v>Cement</v>
      </c>
      <c r="M11" s="1314"/>
      <c r="N11" s="1315"/>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7" t="str">
        <f ca="1">HYPERLINK("#"&amp;ADDRESS(MATCH($S13,G_FurtherGuidance!$S:$S,0),3,,,G_FurtherGuidance!$U$2),CONST_LinkToGuidanceSheet)</f>
        <v>Please click on this link for further guidance on how to complete this section.</v>
      </c>
      <c r="F13" s="1316"/>
      <c r="G13" s="1316"/>
      <c r="H13" s="1316"/>
      <c r="I13" s="1316"/>
      <c r="J13" s="1316"/>
      <c r="K13" s="1316"/>
      <c r="L13" s="1316"/>
      <c r="M13" s="1316"/>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Cement Bubble | Cement</v>
      </c>
      <c r="F16" s="153"/>
      <c r="G16" s="153"/>
      <c r="H16" s="154" t="str">
        <f>IF(L11="","",INDEX(CONST_MATRIX_ProductionRoute,MATCH(L11,CONST_LIST_Goods,0),D16))</f>
        <v>All production routes</v>
      </c>
      <c r="I16" s="153"/>
      <c r="J16" s="153"/>
      <c r="K16" s="155" t="str">
        <f>IF(L11="","",INDEX(CONST_LIST_GoodsUnit,MATCH(L11,CONST_LIST_Goods,0)))</f>
        <v>t</v>
      </c>
      <c r="L16" s="29">
        <f>1255000/0.95</f>
        <v>1321052.6315789474</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
      </c>
      <c r="F17" s="158"/>
      <c r="G17" s="158"/>
      <c r="H17" s="159" t="str">
        <f>IF(L11="","",INDEX(CONST_MATRIX_ProductionRoute,MATCH(L11,CONST_LIST_Goods,0),D17))</f>
        <v>n.a.</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3">
      <c r="D18" s="173">
        <v>3</v>
      </c>
      <c r="E18" s="158" t="str">
        <f t="shared" si="0"/>
        <v/>
      </c>
      <c r="F18" s="158"/>
      <c r="G18" s="158"/>
      <c r="H18" s="159" t="str">
        <f>IF(L11="","",INDEX(CONST_MATRIX_ProductionRoute,MATCH(L11,CONST_LIST_Goods,0),D18))</f>
        <v>n.a.</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3">
      <c r="D19" s="173">
        <v>4</v>
      </c>
      <c r="E19" s="158" t="str">
        <f t="shared" si="0"/>
        <v/>
      </c>
      <c r="F19" s="158"/>
      <c r="G19" s="158"/>
      <c r="H19" s="159" t="str">
        <f>IF(L11="","",INDEX(CONST_MATRIX_ProductionRoute,MATCH(L11,CONST_LIST_Goods,0),D19))</f>
        <v>n.a.</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3">
      <c r="D20" s="173">
        <v>5</v>
      </c>
      <c r="E20" s="158" t="str">
        <f t="shared" si="0"/>
        <v/>
      </c>
      <c r="F20" s="158"/>
      <c r="G20" s="158"/>
      <c r="H20" s="159" t="str">
        <f>IF(L11="","",INDEX(CONST_MATRIX_ProductionRoute,MATCH(L11,CONST_LIST_Goods,0),D20))</f>
        <v>n.a.</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1321052.6315789474</v>
      </c>
      <c r="O24" s="901"/>
      <c r="P24" s="144"/>
      <c r="R24" s="102" t="str">
        <f>CONST_CNTR_TotProd&amp;G11</f>
        <v>TotProd_Cement Bubble</v>
      </c>
      <c r="T24" s="124">
        <f>IF(G11="","",L24)</f>
        <v>1321052.6315789474</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f>L16</f>
        <v>1321052.6315789474</v>
      </c>
      <c r="N27" s="93"/>
      <c r="O27" s="902"/>
      <c r="Q27" s="93"/>
      <c r="R27" s="102" t="str">
        <f>CONST_GoodToMarket&amp;G11</f>
        <v>ToMarket_Cement Bubble</v>
      </c>
      <c r="S27" s="91"/>
      <c r="T27" s="124">
        <f>IF($G$11="","",L27)</f>
        <v>1321052.6315789474</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1</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1</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1</v>
      </c>
    </row>
    <row r="32" spans="1:24" s="144" customFormat="1" ht="12.75" customHeight="1" x14ac:dyDescent="0.3">
      <c r="A32" s="91"/>
      <c r="B32" s="93"/>
      <c r="C32" s="93"/>
      <c r="D32" s="173">
        <v>1</v>
      </c>
      <c r="E32" s="174" t="str">
        <f t="shared" ref="E32:E40" si="2">IF(INDEX(CNTR_List_ExistProdProcNames,S32)=CONST_NA,"",INDEX(CNTR_List_ExistProdProcNames,S32))</f>
        <v/>
      </c>
      <c r="F32" s="175"/>
      <c r="G32" s="175"/>
      <c r="H32" s="175"/>
      <c r="I32" s="175"/>
      <c r="J32" s="176"/>
      <c r="K32" s="155" t="str">
        <f>K16</f>
        <v>t</v>
      </c>
      <c r="L32" s="29"/>
      <c r="N32" s="93"/>
      <c r="O32" s="902"/>
      <c r="Q32" s="93"/>
      <c r="R32" s="102" t="str">
        <f>CONST_PrecursorToGoodInput&amp;G11 &amp;"_"&amp;E32</f>
        <v>PrecToGood_Cement Bubble_</v>
      </c>
      <c r="S32" s="105">
        <f>MAX(S31:S31)+IF(D32=C11,2,1)</f>
        <v>2</v>
      </c>
      <c r="T32" s="124">
        <f>IF(G11="","",L32)</f>
        <v>0</v>
      </c>
      <c r="U32" s="91"/>
      <c r="V32" s="157" t="str">
        <f>IF(AND(G11&lt;&gt;"",E32&lt;&gt;"",L32&lt;&gt;""),TRUE,IF(AND(G11&lt;&gt;"",E32&lt;&gt;"",L32="",X32=FALSE),CONST_ErrorOrMissing&amp;C11,CONST_NA))</f>
        <v>n.a.</v>
      </c>
      <c r="W32" s="104" t="s">
        <v>34</v>
      </c>
      <c r="X32" s="102" t="b">
        <f>IF(G11="",FALSE,OR(L29,E32=""))</f>
        <v>1</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PrecToGood_Cement Bubble_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PrecToGood_Cement Bubble_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PrecToGood_Cement Bubble_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PrecToGood_Cement Bubble_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PrecToGood_Cement Bubble_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PrecToGood_Cement Bubble_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PrecToGood_Cement Bubble_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PrecToGood_Cement Bubble_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c r="N41" s="93"/>
      <c r="O41" s="902"/>
      <c r="Q41" s="93"/>
      <c r="R41" s="91"/>
      <c r="S41" s="91"/>
      <c r="T41" s="712"/>
      <c r="U41" s="91"/>
      <c r="V41" s="157" t="str">
        <f>IF(AND(G11&lt;&gt;"",L41&lt;&gt;""),TRUE,IF(AND(G11&lt;&gt;"",L41="",X41=FALSE),CONST_ErrorOrMissing&amp;C11,CONST_NA))</f>
        <v>n.a.</v>
      </c>
      <c r="W41" s="104" t="s">
        <v>34</v>
      </c>
      <c r="X41" s="102" t="b">
        <f>IF(G11="",FALSE,L29)</f>
        <v>1</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1</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07" t="str">
        <f>IF(G11="","",G11)</f>
        <v>Cement Bubble</v>
      </c>
      <c r="K45" s="1307"/>
      <c r="L45" s="1307"/>
      <c r="M45" s="1307"/>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08" t="str">
        <f ca="1">HYPERLINK("#"&amp;ADDRESS(MATCH($S47,G_FurtherGuidance!$S:$S,0),3,,,G_FurtherGuidance!$U$2),CONST_LinkToGuidanceSheet)</f>
        <v>Please click on this link for further guidance on how to complete this section.</v>
      </c>
      <c r="F47" s="1309"/>
      <c r="G47" s="1309"/>
      <c r="H47" s="1309"/>
      <c r="I47" s="1309"/>
      <c r="J47" s="1309"/>
      <c r="K47" s="1309"/>
      <c r="L47" s="1309"/>
      <c r="M47" s="1309"/>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0</v>
      </c>
      <c r="L50" s="120" t="b">
        <v>0</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v>1037310</v>
      </c>
      <c r="M54" s="195"/>
      <c r="N54" s="196"/>
      <c r="O54" s="902"/>
      <c r="P54" s="144"/>
      <c r="R54" s="102" t="str">
        <f>CONST_EmDir&amp;G11</f>
        <v>EmDir_Cement Bubble</v>
      </c>
      <c r="S54" s="102" t="str">
        <f>CONST_CNTR_EmbedEmDir&amp;G11</f>
        <v>EmbedEmDir_Cement Bubble</v>
      </c>
      <c r="T54" s="124">
        <f>IF(G11="","",L54)</f>
        <v>1037310</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1</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1</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EmDirHeat_Cement Bubble</v>
      </c>
      <c r="S58" s="102" t="str">
        <f>CONST_CNTR_EmbedEmDir&amp;G11</f>
        <v>EmbedEmDir_Cement Bubble</v>
      </c>
      <c r="T58" s="124">
        <f>IF(G11="","",SUM(L57*L58-M57*M58))</f>
        <v>0</v>
      </c>
      <c r="V58" s="157" t="str">
        <f>IF(AND(L11&lt;&gt;"",X58=FALSE),IF(COUNTA(L58:M58)=2,TRUE,CONST_ErrorOrMissing&amp;C11),CONST_NA)</f>
        <v>n.a.</v>
      </c>
      <c r="X58" s="102" t="b">
        <f>X57</f>
        <v>1</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1</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1</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EmDirWG_Cement Bubble</v>
      </c>
      <c r="S62" s="102" t="str">
        <f>CONST_CNTR_EmbedEmDir&amp;G11</f>
        <v>EmbedEmDir_Cement Bubble</v>
      </c>
      <c r="T62" s="124">
        <f>IF(G11="","",SUM(L61*CONST_EFNatGas-M61*CONST_EFNatGas*0.667))</f>
        <v>0</v>
      </c>
      <c r="X62" s="102" t="b">
        <f>X61</f>
        <v>1</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f>L16*0.085+81575</f>
        <v>193864.47368421053</v>
      </c>
      <c r="M65" s="195"/>
      <c r="N65" s="196"/>
      <c r="O65" s="902"/>
      <c r="P65" s="144"/>
      <c r="R65" s="102" t="str">
        <f>CONST_ElecConsumption&amp;G11</f>
        <v>ElecCons_Cement Bubble</v>
      </c>
      <c r="T65" s="124">
        <f>IF(G11="","",L65)</f>
        <v>193864.47368421053</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0.83299999999999996</v>
      </c>
      <c r="M66" s="195"/>
      <c r="N66" s="196"/>
      <c r="O66" s="902"/>
      <c r="P66" s="144"/>
      <c r="S66" s="102" t="str">
        <f>CONST_CNTR_EmbedEmInDir&amp;G11</f>
        <v>EmbedEmInDir_Cement Bubble</v>
      </c>
      <c r="T66" s="124">
        <f>IF(G11="","",SUM(L65)*SUM(L66))</f>
        <v>161489.10657894737</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3926</v>
      </c>
      <c r="M67" s="195"/>
      <c r="N67" s="196"/>
      <c r="O67" s="902"/>
      <c r="P67" s="144"/>
      <c r="R67" s="102" t="str">
        <f>CONST_CNTR_ElecEFMethod&amp;G11</f>
        <v>ElecEFMeth_Cement Bubble</v>
      </c>
      <c r="T67" s="714" t="str">
        <f>IF(L67="","",L67)</f>
        <v>D.4(b)</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EmbedEmDir_Cement Bubble</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10" t="str">
        <f>IF(INDEX(CNTR_List_ExistProdProcNames,R76)=CONST_NA,"",INDEX(CNTR_List_ExistProdProcNames,R76))</f>
        <v/>
      </c>
      <c r="H76" s="1311"/>
      <c r="I76" s="1311"/>
      <c r="J76" s="1311"/>
      <c r="K76" s="1312"/>
      <c r="L76" s="1313" t="str">
        <f>IF(INDEX(CNTR_List_ExistProdProc,R76)=CONST_NA,"",INDEX(CNTR_List_ExistProdProc,R76))</f>
        <v/>
      </c>
      <c r="M76" s="1314"/>
      <c r="N76" s="1315"/>
      <c r="O76" s="901"/>
      <c r="P76" s="144"/>
      <c r="R76" s="149">
        <f>C76</f>
        <v>2</v>
      </c>
      <c r="T76" s="712"/>
      <c r="W76" s="104" t="s">
        <v>2748</v>
      </c>
      <c r="X76" s="150" t="b">
        <f>AND(CNTR_HasEntriesA,G76="")</f>
        <v>1</v>
      </c>
    </row>
    <row r="77" spans="1:24" ht="5.0999999999999996" customHeight="1" x14ac:dyDescent="0.3">
      <c r="D77" s="103"/>
      <c r="E77" s="100"/>
      <c r="O77" s="901"/>
      <c r="P77" s="144"/>
      <c r="T77" s="712"/>
    </row>
    <row r="78" spans="1:24" ht="12.75" customHeight="1" x14ac:dyDescent="0.3">
      <c r="D78" s="103"/>
      <c r="E78" s="1287" t="str">
        <f ca="1">HYPERLINK("#"&amp;ADDRESS(MATCH($S78,G_FurtherGuidance!$S:$S,0),3,,,G_FurtherGuidance!$U$2),CONST_LinkToGuidanceSheet)</f>
        <v>Please click on this link for further guidance on how to complete this section.</v>
      </c>
      <c r="F78" s="1316"/>
      <c r="G78" s="1316"/>
      <c r="H78" s="1316"/>
      <c r="I78" s="1316"/>
      <c r="J78" s="1316"/>
      <c r="K78" s="1316"/>
      <c r="L78" s="1316"/>
      <c r="M78" s="1316"/>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3">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f>IF($G$11="","",L92)</f>
        <v>0</v>
      </c>
      <c r="U92" s="91"/>
      <c r="V92" s="157" t="str">
        <f>IF(AND(G76&lt;&gt;"",L92&lt;&gt;""),TRUE,IF(AND(G76&lt;&gt;"",OR(L92="",L81&lt;&gt;"")),CONST_ErrorOrMissing&amp;C76,CONST_NA))</f>
        <v>n.a.</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3">
      <c r="A97" s="91"/>
      <c r="B97" s="93"/>
      <c r="C97" s="93"/>
      <c r="D97" s="173">
        <v>1</v>
      </c>
      <c r="E97" s="174" t="str">
        <f t="shared" ref="E97:E105" si="6">IF(INDEX(CNTR_List_ExistProdProcNames,S97)=CONST_NA,"",INDEX(CNTR_List_ExistProdProcNames,S97))</f>
        <v>Cement Bubble</v>
      </c>
      <c r="F97" s="175"/>
      <c r="G97" s="175"/>
      <c r="H97" s="175"/>
      <c r="I97" s="175"/>
      <c r="J97" s="176"/>
      <c r="K97" s="155" t="str">
        <f>K81</f>
        <v/>
      </c>
      <c r="L97" s="29"/>
      <c r="N97" s="93"/>
      <c r="O97" s="902"/>
      <c r="Q97" s="93"/>
      <c r="R97" s="102" t="str">
        <f>CONST_PrecursorToGoodInput&amp;G76 &amp;"_"&amp;E97</f>
        <v>PrecToGood__Cement Bubble</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3">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3">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3">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3">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3">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3">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3">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3">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07" t="str">
        <f>IF(G76="","",G76)</f>
        <v/>
      </c>
      <c r="K110" s="1307"/>
      <c r="L110" s="1307"/>
      <c r="M110" s="1307"/>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08" t="str">
        <f ca="1">HYPERLINK("#"&amp;ADDRESS(MATCH($S112,G_FurtherGuidance!$S:$S,0),3,,,G_FurtherGuidance!$U$2),CONST_LinkToGuidanceSheet)</f>
        <v>Please click on this link for further guidance on how to complete this section.</v>
      </c>
      <c r="F112" s="1309"/>
      <c r="G112" s="1309"/>
      <c r="H112" s="1309"/>
      <c r="I112" s="1309"/>
      <c r="J112" s="1309"/>
      <c r="K112" s="1309"/>
      <c r="L112" s="1309"/>
      <c r="M112" s="1309"/>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10" t="str">
        <f>IF(INDEX(CNTR_List_ExistProdProcNames,R141)=CONST_NA,"",INDEX(CNTR_List_ExistProdProcNames,R141))</f>
        <v/>
      </c>
      <c r="H141" s="1311"/>
      <c r="I141" s="1311"/>
      <c r="J141" s="1311"/>
      <c r="K141" s="1312"/>
      <c r="L141" s="1313" t="str">
        <f>IF(INDEX(CNTR_List_ExistProdProc,R141)=CONST_NA,"",INDEX(CNTR_List_ExistProdProc,R141))</f>
        <v/>
      </c>
      <c r="M141" s="1314"/>
      <c r="N141" s="1315"/>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7" t="str">
        <f ca="1">HYPERLINK("#"&amp;ADDRESS(MATCH($S143,G_FurtherGuidance!$S:$S,0),3,,,G_FurtherGuidance!$U$2),CONST_LinkToGuidanceSheet)</f>
        <v>Please click on this link for further guidance on how to complete this section.</v>
      </c>
      <c r="F143" s="1316"/>
      <c r="G143" s="1316"/>
      <c r="H143" s="1316"/>
      <c r="I143" s="1316"/>
      <c r="J143" s="1316"/>
      <c r="K143" s="1316"/>
      <c r="L143" s="1316"/>
      <c r="M143" s="1316"/>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Cement Bubble</v>
      </c>
      <c r="F162" s="175"/>
      <c r="G162" s="175"/>
      <c r="H162" s="175"/>
      <c r="I162" s="175"/>
      <c r="J162" s="176"/>
      <c r="K162" s="155" t="str">
        <f>K146</f>
        <v/>
      </c>
      <c r="L162" s="29"/>
      <c r="N162" s="93"/>
      <c r="O162" s="902"/>
      <c r="Q162" s="93"/>
      <c r="R162" s="102" t="str">
        <f>CONST_PrecursorToGoodInput&amp;G141 &amp;"_"&amp;E162</f>
        <v>PrecToGood__Cement Bubble</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07" t="str">
        <f>IF(G141="","",G141)</f>
        <v/>
      </c>
      <c r="K175" s="1307"/>
      <c r="L175" s="1307"/>
      <c r="M175" s="1307"/>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08" t="str">
        <f ca="1">HYPERLINK("#"&amp;ADDRESS(MATCH($S177,G_FurtherGuidance!$S:$S,0),3,,,G_FurtherGuidance!$U$2),CONST_LinkToGuidanceSheet)</f>
        <v>Please click on this link for further guidance on how to complete this section.</v>
      </c>
      <c r="F177" s="1309"/>
      <c r="G177" s="1309"/>
      <c r="H177" s="1309"/>
      <c r="I177" s="1309"/>
      <c r="J177" s="1309"/>
      <c r="K177" s="1309"/>
      <c r="L177" s="1309"/>
      <c r="M177" s="1309"/>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10" t="str">
        <f>IF(INDEX(CNTR_List_ExistProdProcNames,R206)=CONST_NA,"",INDEX(CNTR_List_ExistProdProcNames,R206))</f>
        <v/>
      </c>
      <c r="H206" s="1311"/>
      <c r="I206" s="1311"/>
      <c r="J206" s="1311"/>
      <c r="K206" s="1312"/>
      <c r="L206" s="1313" t="str">
        <f>IF(INDEX(CNTR_List_ExistProdProc,R206)=CONST_NA,"",INDEX(CNTR_List_ExistProdProc,R206))</f>
        <v/>
      </c>
      <c r="M206" s="1314"/>
      <c r="N206" s="1315"/>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7" t="str">
        <f ca="1">HYPERLINK("#"&amp;ADDRESS(MATCH($S208,G_FurtherGuidance!$S:$S,0),3,,,G_FurtherGuidance!$U$2),CONST_LinkToGuidanceSheet)</f>
        <v>Please click on this link for further guidance on how to complete this section.</v>
      </c>
      <c r="F208" s="1316"/>
      <c r="G208" s="1316"/>
      <c r="H208" s="1316"/>
      <c r="I208" s="1316"/>
      <c r="J208" s="1316"/>
      <c r="K208" s="1316"/>
      <c r="L208" s="1316"/>
      <c r="M208" s="1316"/>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Cement Bubble</v>
      </c>
      <c r="F227" s="175"/>
      <c r="G227" s="175"/>
      <c r="H227" s="175"/>
      <c r="I227" s="175"/>
      <c r="J227" s="176"/>
      <c r="K227" s="155" t="str">
        <f>K211</f>
        <v/>
      </c>
      <c r="L227" s="29"/>
      <c r="N227" s="93"/>
      <c r="O227" s="902"/>
      <c r="Q227" s="93"/>
      <c r="R227" s="102" t="str">
        <f>CONST_PrecursorToGoodInput&amp;G206 &amp;"_"&amp;E227</f>
        <v>PrecToGood__Cement Bubble</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07" t="str">
        <f>IF(G206="","",G206)</f>
        <v/>
      </c>
      <c r="K240" s="1307"/>
      <c r="L240" s="1307"/>
      <c r="M240" s="1307"/>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08" t="str">
        <f ca="1">HYPERLINK("#"&amp;ADDRESS(MATCH($S242,G_FurtherGuidance!$S:$S,0),3,,,G_FurtherGuidance!$U$2),CONST_LinkToGuidanceSheet)</f>
        <v>Please click on this link for further guidance on how to complete this section.</v>
      </c>
      <c r="F242" s="1309"/>
      <c r="G242" s="1309"/>
      <c r="H242" s="1309"/>
      <c r="I242" s="1309"/>
      <c r="J242" s="1309"/>
      <c r="K242" s="1309"/>
      <c r="L242" s="1309"/>
      <c r="M242" s="1309"/>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10" t="str">
        <f>IF(INDEX(CNTR_List_ExistProdProcNames,R271)=CONST_NA,"",INDEX(CNTR_List_ExistProdProcNames,R271))</f>
        <v/>
      </c>
      <c r="H271" s="1311"/>
      <c r="I271" s="1311"/>
      <c r="J271" s="1311"/>
      <c r="K271" s="1312"/>
      <c r="L271" s="1313" t="str">
        <f>IF(INDEX(CNTR_List_ExistProdProc,R271)=CONST_NA,"",INDEX(CNTR_List_ExistProdProc,R271))</f>
        <v/>
      </c>
      <c r="M271" s="1314"/>
      <c r="N271" s="1315"/>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7" t="str">
        <f ca="1">HYPERLINK("#"&amp;ADDRESS(MATCH($S273,G_FurtherGuidance!$S:$S,0),3,,,G_FurtherGuidance!$U$2),CONST_LinkToGuidanceSheet)</f>
        <v>Please click on this link for further guidance on how to complete this section.</v>
      </c>
      <c r="F273" s="1316"/>
      <c r="G273" s="1316"/>
      <c r="H273" s="1316"/>
      <c r="I273" s="1316"/>
      <c r="J273" s="1316"/>
      <c r="K273" s="1316"/>
      <c r="L273" s="1316"/>
      <c r="M273" s="1316"/>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Cement Bubble</v>
      </c>
      <c r="F292" s="175"/>
      <c r="G292" s="175"/>
      <c r="H292" s="175"/>
      <c r="I292" s="175"/>
      <c r="J292" s="176"/>
      <c r="K292" s="155" t="str">
        <f>K276</f>
        <v/>
      </c>
      <c r="L292" s="29"/>
      <c r="N292" s="93"/>
      <c r="O292" s="902"/>
      <c r="Q292" s="93"/>
      <c r="R292" s="102" t="str">
        <f>CONST_PrecursorToGoodInput&amp;G271 &amp;"_"&amp;E292</f>
        <v>PrecToGood__Cement Bubble</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07" t="str">
        <f>IF(G271="","",G271)</f>
        <v/>
      </c>
      <c r="K305" s="1307"/>
      <c r="L305" s="1307"/>
      <c r="M305" s="1307"/>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08" t="str">
        <f ca="1">HYPERLINK("#"&amp;ADDRESS(MATCH($S307,G_FurtherGuidance!$S:$S,0),3,,,G_FurtherGuidance!$U$2),CONST_LinkToGuidanceSheet)</f>
        <v>Please click on this link for further guidance on how to complete this section.</v>
      </c>
      <c r="F307" s="1309"/>
      <c r="G307" s="1309"/>
      <c r="H307" s="1309"/>
      <c r="I307" s="1309"/>
      <c r="J307" s="1309"/>
      <c r="K307" s="1309"/>
      <c r="L307" s="1309"/>
      <c r="M307" s="1309"/>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10" t="str">
        <f>IF(INDEX(CNTR_List_ExistProdProcNames,R336)=CONST_NA,"",INDEX(CNTR_List_ExistProdProcNames,R336))</f>
        <v/>
      </c>
      <c r="H336" s="1311"/>
      <c r="I336" s="1311"/>
      <c r="J336" s="1311"/>
      <c r="K336" s="1312"/>
      <c r="L336" s="1313" t="str">
        <f>IF(INDEX(CNTR_List_ExistProdProc,R336)=CONST_NA,"",INDEX(CNTR_List_ExistProdProc,R336))</f>
        <v/>
      </c>
      <c r="M336" s="1314"/>
      <c r="N336" s="1315"/>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7" t="str">
        <f ca="1">HYPERLINK("#"&amp;ADDRESS(MATCH($S338,G_FurtherGuidance!$S:$S,0),3,,,G_FurtherGuidance!$U$2),CONST_LinkToGuidanceSheet)</f>
        <v>Please click on this link for further guidance on how to complete this section.</v>
      </c>
      <c r="F338" s="1316"/>
      <c r="G338" s="1316"/>
      <c r="H338" s="1316"/>
      <c r="I338" s="1316"/>
      <c r="J338" s="1316"/>
      <c r="K338" s="1316"/>
      <c r="L338" s="1316"/>
      <c r="M338" s="1316"/>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Cement Bubble</v>
      </c>
      <c r="F357" s="175"/>
      <c r="G357" s="175"/>
      <c r="H357" s="175"/>
      <c r="I357" s="175"/>
      <c r="J357" s="176"/>
      <c r="K357" s="155" t="str">
        <f>K341</f>
        <v/>
      </c>
      <c r="L357" s="29"/>
      <c r="N357" s="93"/>
      <c r="O357" s="902"/>
      <c r="Q357" s="93"/>
      <c r="R357" s="102" t="str">
        <f>CONST_PrecursorToGoodInput&amp;G336 &amp;"_"&amp;E357</f>
        <v>PrecToGood__Cement Bubble</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07" t="str">
        <f>IF(G336="","",G336)</f>
        <v/>
      </c>
      <c r="K370" s="1307"/>
      <c r="L370" s="1307"/>
      <c r="M370" s="1307"/>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08" t="str">
        <f ca="1">HYPERLINK("#"&amp;ADDRESS(MATCH($S372,G_FurtherGuidance!$S:$S,0),3,,,G_FurtherGuidance!$U$2),CONST_LinkToGuidanceSheet)</f>
        <v>Please click on this link for further guidance on how to complete this section.</v>
      </c>
      <c r="F372" s="1309"/>
      <c r="G372" s="1309"/>
      <c r="H372" s="1309"/>
      <c r="I372" s="1309"/>
      <c r="J372" s="1309"/>
      <c r="K372" s="1309"/>
      <c r="L372" s="1309"/>
      <c r="M372" s="1309"/>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10" t="str">
        <f>IF(INDEX(CNTR_List_ExistProdProcNames,R401)=CONST_NA,"",INDEX(CNTR_List_ExistProdProcNames,R401))</f>
        <v/>
      </c>
      <c r="H401" s="1311"/>
      <c r="I401" s="1311"/>
      <c r="J401" s="1311"/>
      <c r="K401" s="1312"/>
      <c r="L401" s="1313" t="str">
        <f>IF(INDEX(CNTR_List_ExistProdProc,R401)=CONST_NA,"",INDEX(CNTR_List_ExistProdProc,R401))</f>
        <v/>
      </c>
      <c r="M401" s="1314"/>
      <c r="N401" s="1315"/>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7" t="str">
        <f ca="1">HYPERLINK("#"&amp;ADDRESS(MATCH($S403,G_FurtherGuidance!$S:$S,0),3,,,G_FurtherGuidance!$U$2),CONST_LinkToGuidanceSheet)</f>
        <v>Please click on this link for further guidance on how to complete this section.</v>
      </c>
      <c r="F403" s="1316"/>
      <c r="G403" s="1316"/>
      <c r="H403" s="1316"/>
      <c r="I403" s="1316"/>
      <c r="J403" s="1316"/>
      <c r="K403" s="1316"/>
      <c r="L403" s="1316"/>
      <c r="M403" s="1316"/>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Cement Bubble</v>
      </c>
      <c r="F422" s="175"/>
      <c r="G422" s="175"/>
      <c r="H422" s="175"/>
      <c r="I422" s="175"/>
      <c r="J422" s="176"/>
      <c r="K422" s="155" t="str">
        <f>K406</f>
        <v/>
      </c>
      <c r="L422" s="29"/>
      <c r="N422" s="93"/>
      <c r="O422" s="902"/>
      <c r="Q422" s="93"/>
      <c r="R422" s="102" t="str">
        <f>CONST_PrecursorToGoodInput&amp;G401 &amp;"_"&amp;E422</f>
        <v>PrecToGood__Cement Bubble</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07" t="str">
        <f>IF(G401="","",G401)</f>
        <v/>
      </c>
      <c r="K435" s="1307"/>
      <c r="L435" s="1307"/>
      <c r="M435" s="1307"/>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08" t="str">
        <f ca="1">HYPERLINK("#"&amp;ADDRESS(MATCH($S437,G_FurtherGuidance!$S:$S,0),3,,,G_FurtherGuidance!$U$2),CONST_LinkToGuidanceSheet)</f>
        <v>Please click on this link for further guidance on how to complete this section.</v>
      </c>
      <c r="F437" s="1309"/>
      <c r="G437" s="1309"/>
      <c r="H437" s="1309"/>
      <c r="I437" s="1309"/>
      <c r="J437" s="1309"/>
      <c r="K437" s="1309"/>
      <c r="L437" s="1309"/>
      <c r="M437" s="1309"/>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10" t="str">
        <f>IF(INDEX(CNTR_List_ExistProdProcNames,R466)=CONST_NA,"",INDEX(CNTR_List_ExistProdProcNames,R466))</f>
        <v/>
      </c>
      <c r="H466" s="1311"/>
      <c r="I466" s="1311"/>
      <c r="J466" s="1311"/>
      <c r="K466" s="1312"/>
      <c r="L466" s="1313" t="str">
        <f>IF(INDEX(CNTR_List_ExistProdProc,R466)=CONST_NA,"",INDEX(CNTR_List_ExistProdProc,R466))</f>
        <v/>
      </c>
      <c r="M466" s="1314"/>
      <c r="N466" s="1315"/>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7" t="str">
        <f ca="1">HYPERLINK("#"&amp;ADDRESS(MATCH($S468,G_FurtherGuidance!$S:$S,0),3,,,G_FurtherGuidance!$U$2),CONST_LinkToGuidanceSheet)</f>
        <v>Please click on this link for further guidance on how to complete this section.</v>
      </c>
      <c r="F468" s="1316"/>
      <c r="G468" s="1316"/>
      <c r="H468" s="1316"/>
      <c r="I468" s="1316"/>
      <c r="J468" s="1316"/>
      <c r="K468" s="1316"/>
      <c r="L468" s="1316"/>
      <c r="M468" s="1316"/>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Cement Bubble</v>
      </c>
      <c r="F487" s="175"/>
      <c r="G487" s="175"/>
      <c r="H487" s="175"/>
      <c r="I487" s="175"/>
      <c r="J487" s="176"/>
      <c r="K487" s="155" t="str">
        <f>K471</f>
        <v/>
      </c>
      <c r="L487" s="29"/>
      <c r="N487" s="93"/>
      <c r="O487" s="902"/>
      <c r="Q487" s="93"/>
      <c r="R487" s="102" t="str">
        <f>CONST_PrecursorToGoodInput&amp;G466 &amp;"_"&amp;E487</f>
        <v>PrecToGood__Cement Bubble</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07" t="str">
        <f>IF(G466="","",G466)</f>
        <v/>
      </c>
      <c r="K500" s="1307"/>
      <c r="L500" s="1307"/>
      <c r="M500" s="1307"/>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08" t="str">
        <f ca="1">HYPERLINK("#"&amp;ADDRESS(MATCH($S502,G_FurtherGuidance!$S:$S,0),3,,,G_FurtherGuidance!$U$2),CONST_LinkToGuidanceSheet)</f>
        <v>Please click on this link for further guidance on how to complete this section.</v>
      </c>
      <c r="F502" s="1309"/>
      <c r="G502" s="1309"/>
      <c r="H502" s="1309"/>
      <c r="I502" s="1309"/>
      <c r="J502" s="1309"/>
      <c r="K502" s="1309"/>
      <c r="L502" s="1309"/>
      <c r="M502" s="1309"/>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10" t="str">
        <f>IF(INDEX(CNTR_List_ExistProdProcNames,R531)=CONST_NA,"",INDEX(CNTR_List_ExistProdProcNames,R531))</f>
        <v/>
      </c>
      <c r="H531" s="1311"/>
      <c r="I531" s="1311"/>
      <c r="J531" s="1311"/>
      <c r="K531" s="1312"/>
      <c r="L531" s="1313" t="str">
        <f>IF(INDEX(CNTR_List_ExistProdProc,R531)=CONST_NA,"",INDEX(CNTR_List_ExistProdProc,R531))</f>
        <v/>
      </c>
      <c r="M531" s="1314"/>
      <c r="N531" s="1315"/>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7" t="str">
        <f ca="1">HYPERLINK("#"&amp;ADDRESS(MATCH($S533,G_FurtherGuidance!$S:$S,0),3,,,G_FurtherGuidance!$U$2),CONST_LinkToGuidanceSheet)</f>
        <v>Please click on this link for further guidance on how to complete this section.</v>
      </c>
      <c r="F533" s="1316"/>
      <c r="G533" s="1316"/>
      <c r="H533" s="1316"/>
      <c r="I533" s="1316"/>
      <c r="J533" s="1316"/>
      <c r="K533" s="1316"/>
      <c r="L533" s="1316"/>
      <c r="M533" s="1316"/>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Cement Bubble</v>
      </c>
      <c r="F552" s="175"/>
      <c r="G552" s="175"/>
      <c r="H552" s="175"/>
      <c r="I552" s="175"/>
      <c r="J552" s="176"/>
      <c r="K552" s="155" t="str">
        <f>K536</f>
        <v/>
      </c>
      <c r="L552" s="29"/>
      <c r="N552" s="93"/>
      <c r="O552" s="902"/>
      <c r="Q552" s="93"/>
      <c r="R552" s="102" t="str">
        <f>CONST_PrecursorToGoodInput&amp;G531 &amp;"_"&amp;E552</f>
        <v>PrecToGood__Cement Bubble</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07" t="str">
        <f>IF(G531="","",G531)</f>
        <v/>
      </c>
      <c r="K565" s="1307"/>
      <c r="L565" s="1307"/>
      <c r="M565" s="1307"/>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08" t="str">
        <f ca="1">HYPERLINK("#"&amp;ADDRESS(MATCH($S567,G_FurtherGuidance!$S:$S,0),3,,,G_FurtherGuidance!$U$2),CONST_LinkToGuidanceSheet)</f>
        <v>Please click on this link for further guidance on how to complete this section.</v>
      </c>
      <c r="F567" s="1309"/>
      <c r="G567" s="1309"/>
      <c r="H567" s="1309"/>
      <c r="I567" s="1309"/>
      <c r="J567" s="1309"/>
      <c r="K567" s="1309"/>
      <c r="L567" s="1309"/>
      <c r="M567" s="1309"/>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10" t="str">
        <f>IF(INDEX(CNTR_List_ExistProdProcNames,R596)=CONST_NA,"",INDEX(CNTR_List_ExistProdProcNames,R596))</f>
        <v/>
      </c>
      <c r="H596" s="1311"/>
      <c r="I596" s="1311"/>
      <c r="J596" s="1311"/>
      <c r="K596" s="1312"/>
      <c r="L596" s="1313" t="str">
        <f>IF(INDEX(CNTR_List_ExistProdProc,R596)=CONST_NA,"",INDEX(CNTR_List_ExistProdProc,R596))</f>
        <v/>
      </c>
      <c r="M596" s="1314"/>
      <c r="N596" s="1315"/>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7" t="str">
        <f ca="1">HYPERLINK("#"&amp;ADDRESS(MATCH($S598,G_FurtherGuidance!$S:$S,0),3,,,G_FurtherGuidance!$U$2),CONST_LinkToGuidanceSheet)</f>
        <v>Please click on this link for further guidance on how to complete this section.</v>
      </c>
      <c r="F598" s="1316"/>
      <c r="G598" s="1316"/>
      <c r="H598" s="1316"/>
      <c r="I598" s="1316"/>
      <c r="J598" s="1316"/>
      <c r="K598" s="1316"/>
      <c r="L598" s="1316"/>
      <c r="M598" s="1316"/>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Cement Bubble</v>
      </c>
      <c r="F617" s="175"/>
      <c r="G617" s="175"/>
      <c r="H617" s="175"/>
      <c r="I617" s="175"/>
      <c r="J617" s="176"/>
      <c r="K617" s="155" t="str">
        <f>K601</f>
        <v/>
      </c>
      <c r="L617" s="29"/>
      <c r="N617" s="93"/>
      <c r="O617" s="902"/>
      <c r="Q617" s="93"/>
      <c r="R617" s="102" t="str">
        <f>CONST_PrecursorToGoodInput&amp;G596 &amp;"_"&amp;E617</f>
        <v>PrecToGood__Cement Bubble</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07" t="str">
        <f>IF(G596="","",G596)</f>
        <v/>
      </c>
      <c r="K630" s="1307"/>
      <c r="L630" s="1307"/>
      <c r="M630" s="1307"/>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08" t="str">
        <f ca="1">HYPERLINK("#"&amp;ADDRESS(MATCH($S632,G_FurtherGuidance!$S:$S,0),3,,,G_FurtherGuidance!$U$2),CONST_LinkToGuidanceSheet)</f>
        <v>Please click on this link for further guidance on how to complete this section.</v>
      </c>
      <c r="F632" s="1309"/>
      <c r="G632" s="1309"/>
      <c r="H632" s="1309"/>
      <c r="I632" s="1309"/>
      <c r="J632" s="1309"/>
      <c r="K632" s="1309"/>
      <c r="L632" s="1309"/>
      <c r="M632" s="1309"/>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64 D66:M72 D65:K65 M65">
    <cfRule type="expression" dxfId="534" priority="480">
      <formula>$X56</formula>
    </cfRule>
  </conditionalFormatting>
  <conditionalFormatting sqref="D31:M41 M40:M42">
    <cfRule type="expression" dxfId="533" priority="479">
      <formula>$X31</formula>
    </cfRule>
  </conditionalFormatting>
  <conditionalFormatting sqref="O16:O23 O32:O42">
    <cfRule type="expression" dxfId="532" priority="477">
      <formula>$V16=TRUE</formula>
    </cfRule>
    <cfRule type="expression" dxfId="531" priority="478">
      <formula>$V16=CONST_NA</formula>
    </cfRule>
  </conditionalFormatting>
  <conditionalFormatting sqref="O57">
    <cfRule type="expression" dxfId="530" priority="475">
      <formula>$V57=TRUE</formula>
    </cfRule>
    <cfRule type="expression" dxfId="529" priority="476">
      <formula>$V57=CONST_NA</formula>
    </cfRule>
  </conditionalFormatting>
  <conditionalFormatting sqref="O58">
    <cfRule type="expression" dxfId="528" priority="473">
      <formula>$V58=TRUE</formula>
    </cfRule>
    <cfRule type="expression" dxfId="527" priority="474">
      <formula>$V58=CONST_NA</formula>
    </cfRule>
  </conditionalFormatting>
  <conditionalFormatting sqref="O61">
    <cfRule type="expression" dxfId="526" priority="471">
      <formula>$V61=TRUE</formula>
    </cfRule>
    <cfRule type="expression" dxfId="525" priority="472">
      <formula>$V61=CONST_NA</formula>
    </cfRule>
  </conditionalFormatting>
  <conditionalFormatting sqref="O65">
    <cfRule type="expression" dxfId="524" priority="467">
      <formula>$V65=TRUE</formula>
    </cfRule>
    <cfRule type="expression" dxfId="523" priority="468">
      <formula>$V65=CONST_NA</formula>
    </cfRule>
  </conditionalFormatting>
  <conditionalFormatting sqref="O66">
    <cfRule type="expression" dxfId="522" priority="465">
      <formula>$V66=TRUE</formula>
    </cfRule>
    <cfRule type="expression" dxfId="521" priority="466">
      <formula>$V66=CONST_NA</formula>
    </cfRule>
  </conditionalFormatting>
  <conditionalFormatting sqref="O54">
    <cfRule type="expression" dxfId="520" priority="461">
      <formula>$V54=TRUE</formula>
    </cfRule>
    <cfRule type="expression" dxfId="519" priority="462">
      <formula>$V54=CONST_NA</formula>
    </cfRule>
  </conditionalFormatting>
  <conditionalFormatting sqref="O50">
    <cfRule type="expression" dxfId="518" priority="459">
      <formula>$V50=TRUE</formula>
    </cfRule>
    <cfRule type="expression" dxfId="517" priority="460">
      <formula>$V50=CONST_NA</formula>
    </cfRule>
  </conditionalFormatting>
  <conditionalFormatting sqref="O27">
    <cfRule type="expression" dxfId="516" priority="456">
      <formula>$V27=TRUE</formula>
    </cfRule>
    <cfRule type="expression" dxfId="515" priority="457">
      <formula>$V27=CONST_NA</formula>
    </cfRule>
  </conditionalFormatting>
  <conditionalFormatting sqref="E17:M23">
    <cfRule type="expression" dxfId="514" priority="481">
      <formula>$H17=CONST_NA</formula>
    </cfRule>
  </conditionalFormatting>
  <conditionalFormatting sqref="C11:N15 C17:N64 C16:K16 M16:N16 C66:N658 C65:K65 M65:N65">
    <cfRule type="expression" dxfId="513" priority="394">
      <formula>INDEX($X:$X,MATCH(MAX(INDIRECT(ADDRESS(1,3)&amp;":"&amp;ADDRESS(ROW(D11),3))),$C:$C,0))</formula>
    </cfRule>
  </conditionalFormatting>
  <conditionalFormatting sqref="E72">
    <cfRule type="expression" dxfId="512" priority="386">
      <formula>$X72</formula>
    </cfRule>
  </conditionalFormatting>
  <conditionalFormatting sqref="O67">
    <cfRule type="expression" dxfId="511" priority="380">
      <formula>$V67=TRUE</formula>
    </cfRule>
    <cfRule type="expression" dxfId="510" priority="381">
      <formula>$V67=CONST_NA</formula>
    </cfRule>
  </conditionalFormatting>
  <conditionalFormatting sqref="G3:N5">
    <cfRule type="expression" dxfId="509" priority="379">
      <formula>COUNTIF($V:$V,CONST_ErrorOrMissing&amp;R3)&gt;0</formula>
    </cfRule>
  </conditionalFormatting>
  <conditionalFormatting sqref="O71">
    <cfRule type="expression" dxfId="508" priority="375">
      <formula>$V71=TRUE</formula>
    </cfRule>
    <cfRule type="expression" dxfId="507" priority="376">
      <formula>$V71=CONST_NA</formula>
    </cfRule>
  </conditionalFormatting>
  <conditionalFormatting sqref="O72">
    <cfRule type="expression" dxfId="506" priority="373">
      <formula>$V72=TRUE</formula>
    </cfRule>
    <cfRule type="expression" dxfId="505" priority="374">
      <formula>$V72=CONST_NA</formula>
    </cfRule>
  </conditionalFormatting>
  <conditionalFormatting sqref="D121:M137">
    <cfRule type="expression" dxfId="504" priority="283">
      <formula>$X121</formula>
    </cfRule>
  </conditionalFormatting>
  <conditionalFormatting sqref="D96:M106 M107">
    <cfRule type="expression" dxfId="503" priority="282">
      <formula>$X96</formula>
    </cfRule>
  </conditionalFormatting>
  <conditionalFormatting sqref="O81:O88 O97:O107">
    <cfRule type="expression" dxfId="502" priority="280">
      <formula>$V81=TRUE</formula>
    </cfRule>
    <cfRule type="expression" dxfId="501" priority="281">
      <formula>$V81=CONST_NA</formula>
    </cfRule>
  </conditionalFormatting>
  <conditionalFormatting sqref="O122">
    <cfRule type="expression" dxfId="500" priority="278">
      <formula>$V122=TRUE</formula>
    </cfRule>
    <cfRule type="expression" dxfId="499" priority="279">
      <formula>$V122=CONST_NA</formula>
    </cfRule>
  </conditionalFormatting>
  <conditionalFormatting sqref="O123">
    <cfRule type="expression" dxfId="498" priority="276">
      <formula>$V123=TRUE</formula>
    </cfRule>
    <cfRule type="expression" dxfId="497" priority="277">
      <formula>$V123=CONST_NA</formula>
    </cfRule>
  </conditionalFormatting>
  <conditionalFormatting sqref="O126">
    <cfRule type="expression" dxfId="496" priority="274">
      <formula>$V126=TRUE</formula>
    </cfRule>
    <cfRule type="expression" dxfId="495" priority="275">
      <formula>$V126=CONST_NA</formula>
    </cfRule>
  </conditionalFormatting>
  <conditionalFormatting sqref="O130">
    <cfRule type="expression" dxfId="494" priority="272">
      <formula>$V130=TRUE</formula>
    </cfRule>
    <cfRule type="expression" dxfId="493" priority="273">
      <formula>$V130=CONST_NA</formula>
    </cfRule>
  </conditionalFormatting>
  <conditionalFormatting sqref="O131">
    <cfRule type="expression" dxfId="492" priority="270">
      <formula>$V131=TRUE</formula>
    </cfRule>
    <cfRule type="expression" dxfId="491" priority="271">
      <formula>$V131=CONST_NA</formula>
    </cfRule>
  </conditionalFormatting>
  <conditionalFormatting sqref="O119">
    <cfRule type="expression" dxfId="490" priority="268">
      <formula>$V119=TRUE</formula>
    </cfRule>
    <cfRule type="expression" dxfId="489" priority="269">
      <formula>$V119=CONST_NA</formula>
    </cfRule>
  </conditionalFormatting>
  <conditionalFormatting sqref="O115">
    <cfRule type="expression" dxfId="488" priority="266">
      <formula>$V115=TRUE</formula>
    </cfRule>
    <cfRule type="expression" dxfId="487" priority="267">
      <formula>$V115=CONST_NA</formula>
    </cfRule>
  </conditionalFormatting>
  <conditionalFormatting sqref="O92">
    <cfRule type="expression" dxfId="486" priority="264">
      <formula>$V92=TRUE</formula>
    </cfRule>
    <cfRule type="expression" dxfId="485" priority="265">
      <formula>$V92=CONST_NA</formula>
    </cfRule>
  </conditionalFormatting>
  <conditionalFormatting sqref="E82:M88">
    <cfRule type="expression" dxfId="484" priority="284">
      <formula>$H82=CONST_NA</formula>
    </cfRule>
  </conditionalFormatting>
  <conditionalFormatting sqref="E137">
    <cfRule type="expression" dxfId="483" priority="262">
      <formula>$X137</formula>
    </cfRule>
  </conditionalFormatting>
  <conditionalFormatting sqref="O132">
    <cfRule type="expression" dxfId="482" priority="260">
      <formula>$V132=TRUE</formula>
    </cfRule>
    <cfRule type="expression" dxfId="481" priority="261">
      <formula>$V132=CONST_NA</formula>
    </cfRule>
  </conditionalFormatting>
  <conditionalFormatting sqref="O136">
    <cfRule type="expression" dxfId="480" priority="258">
      <formula>$V136=TRUE</formula>
    </cfRule>
    <cfRule type="expression" dxfId="479" priority="259">
      <formula>$V136=CONST_NA</formula>
    </cfRule>
  </conditionalFormatting>
  <conditionalFormatting sqref="O137">
    <cfRule type="expression" dxfId="478" priority="256">
      <formula>$V137=TRUE</formula>
    </cfRule>
    <cfRule type="expression" dxfId="477" priority="257">
      <formula>$V137=CONST_NA</formula>
    </cfRule>
  </conditionalFormatting>
  <conditionalFormatting sqref="D186:M202">
    <cfRule type="expression" dxfId="476" priority="253">
      <formula>$X186</formula>
    </cfRule>
  </conditionalFormatting>
  <conditionalFormatting sqref="D161:M171 M172">
    <cfRule type="expression" dxfId="475" priority="252">
      <formula>$X161</formula>
    </cfRule>
  </conditionalFormatting>
  <conditionalFormatting sqref="O146:O153 O162:O172">
    <cfRule type="expression" dxfId="474" priority="250">
      <formula>$V146=TRUE</formula>
    </cfRule>
    <cfRule type="expression" dxfId="473" priority="251">
      <formula>$V146=CONST_NA</formula>
    </cfRule>
  </conditionalFormatting>
  <conditionalFormatting sqref="O187">
    <cfRule type="expression" dxfId="472" priority="248">
      <formula>$V187=TRUE</formula>
    </cfRule>
    <cfRule type="expression" dxfId="471" priority="249">
      <formula>$V187=CONST_NA</formula>
    </cfRule>
  </conditionalFormatting>
  <conditionalFormatting sqref="O188">
    <cfRule type="expression" dxfId="470" priority="246">
      <formula>$V188=TRUE</formula>
    </cfRule>
    <cfRule type="expression" dxfId="469" priority="247">
      <formula>$V188=CONST_NA</formula>
    </cfRule>
  </conditionalFormatting>
  <conditionalFormatting sqref="O191">
    <cfRule type="expression" dxfId="468" priority="244">
      <formula>$V191=TRUE</formula>
    </cfRule>
    <cfRule type="expression" dxfId="467" priority="245">
      <formula>$V191=CONST_NA</formula>
    </cfRule>
  </conditionalFormatting>
  <conditionalFormatting sqref="O195">
    <cfRule type="expression" dxfId="466" priority="242">
      <formula>$V195=TRUE</formula>
    </cfRule>
    <cfRule type="expression" dxfId="465" priority="243">
      <formula>$V195=CONST_NA</formula>
    </cfRule>
  </conditionalFormatting>
  <conditionalFormatting sqref="O196">
    <cfRule type="expression" dxfId="464" priority="240">
      <formula>$V196=TRUE</formula>
    </cfRule>
    <cfRule type="expression" dxfId="463" priority="241">
      <formula>$V196=CONST_NA</formula>
    </cfRule>
  </conditionalFormatting>
  <conditionalFormatting sqref="O184">
    <cfRule type="expression" dxfId="462" priority="238">
      <formula>$V184=TRUE</formula>
    </cfRule>
    <cfRule type="expression" dxfId="461" priority="239">
      <formula>$V184=CONST_NA</formula>
    </cfRule>
  </conditionalFormatting>
  <conditionalFormatting sqref="O180">
    <cfRule type="expression" dxfId="460" priority="236">
      <formula>$V180=TRUE</formula>
    </cfRule>
    <cfRule type="expression" dxfId="459" priority="237">
      <formula>$V180=CONST_NA</formula>
    </cfRule>
  </conditionalFormatting>
  <conditionalFormatting sqref="O157">
    <cfRule type="expression" dxfId="458" priority="234">
      <formula>$V157=TRUE</formula>
    </cfRule>
    <cfRule type="expression" dxfId="457" priority="235">
      <formula>$V157=CONST_NA</formula>
    </cfRule>
  </conditionalFormatting>
  <conditionalFormatting sqref="E147:M153">
    <cfRule type="expression" dxfId="456" priority="254">
      <formula>$H147=CONST_NA</formula>
    </cfRule>
  </conditionalFormatting>
  <conditionalFormatting sqref="E202">
    <cfRule type="expression" dxfId="455" priority="233">
      <formula>$X202</formula>
    </cfRule>
  </conditionalFormatting>
  <conditionalFormatting sqref="O197">
    <cfRule type="expression" dxfId="454" priority="231">
      <formula>$V197=TRUE</formula>
    </cfRule>
    <cfRule type="expression" dxfId="453" priority="232">
      <formula>$V197=CONST_NA</formula>
    </cfRule>
  </conditionalFormatting>
  <conditionalFormatting sqref="O201">
    <cfRule type="expression" dxfId="452" priority="229">
      <formula>$V201=TRUE</formula>
    </cfRule>
    <cfRule type="expression" dxfId="451" priority="230">
      <formula>$V201=CONST_NA</formula>
    </cfRule>
  </conditionalFormatting>
  <conditionalFormatting sqref="O202">
    <cfRule type="expression" dxfId="450" priority="227">
      <formula>$V202=TRUE</formula>
    </cfRule>
    <cfRule type="expression" dxfId="449" priority="228">
      <formula>$V202=CONST_NA</formula>
    </cfRule>
  </conditionalFormatting>
  <conditionalFormatting sqref="D251:M267">
    <cfRule type="expression" dxfId="448" priority="224">
      <formula>$X251</formula>
    </cfRule>
  </conditionalFormatting>
  <conditionalFormatting sqref="D226:M236 M237">
    <cfRule type="expression" dxfId="447" priority="223">
      <formula>$X226</formula>
    </cfRule>
  </conditionalFormatting>
  <conditionalFormatting sqref="O211:O218 O227:O237">
    <cfRule type="expression" dxfId="446" priority="221">
      <formula>$V211=TRUE</formula>
    </cfRule>
    <cfRule type="expression" dxfId="445" priority="222">
      <formula>$V211=CONST_NA</formula>
    </cfRule>
  </conditionalFormatting>
  <conditionalFormatting sqref="O252">
    <cfRule type="expression" dxfId="444" priority="219">
      <formula>$V252=TRUE</formula>
    </cfRule>
    <cfRule type="expression" dxfId="443" priority="220">
      <formula>$V252=CONST_NA</formula>
    </cfRule>
  </conditionalFormatting>
  <conditionalFormatting sqref="O253">
    <cfRule type="expression" dxfId="442" priority="217">
      <formula>$V253=TRUE</formula>
    </cfRule>
    <cfRule type="expression" dxfId="441" priority="218">
      <formula>$V253=CONST_NA</formula>
    </cfRule>
  </conditionalFormatting>
  <conditionalFormatting sqref="O256">
    <cfRule type="expression" dxfId="440" priority="215">
      <formula>$V256=TRUE</formula>
    </cfRule>
    <cfRule type="expression" dxfId="439" priority="216">
      <formula>$V256=CONST_NA</formula>
    </cfRule>
  </conditionalFormatting>
  <conditionalFormatting sqref="O260">
    <cfRule type="expression" dxfId="438" priority="213">
      <formula>$V260=TRUE</formula>
    </cfRule>
    <cfRule type="expression" dxfId="437" priority="214">
      <formula>$V260=CONST_NA</formula>
    </cfRule>
  </conditionalFormatting>
  <conditionalFormatting sqref="O261">
    <cfRule type="expression" dxfId="436" priority="211">
      <formula>$V261=TRUE</formula>
    </cfRule>
    <cfRule type="expression" dxfId="435" priority="212">
      <formula>$V261=CONST_NA</formula>
    </cfRule>
  </conditionalFormatting>
  <conditionalFormatting sqref="O249">
    <cfRule type="expression" dxfId="434" priority="209">
      <formula>$V249=TRUE</formula>
    </cfRule>
    <cfRule type="expression" dxfId="433" priority="210">
      <formula>$V249=CONST_NA</formula>
    </cfRule>
  </conditionalFormatting>
  <conditionalFormatting sqref="O245">
    <cfRule type="expression" dxfId="432" priority="207">
      <formula>$V245=TRUE</formula>
    </cfRule>
    <cfRule type="expression" dxfId="431" priority="208">
      <formula>$V245=CONST_NA</formula>
    </cfRule>
  </conditionalFormatting>
  <conditionalFormatting sqref="O222">
    <cfRule type="expression" dxfId="430" priority="205">
      <formula>$V222=TRUE</formula>
    </cfRule>
    <cfRule type="expression" dxfId="429" priority="206">
      <formula>$V222=CONST_NA</formula>
    </cfRule>
  </conditionalFormatting>
  <conditionalFormatting sqref="E212:M218">
    <cfRule type="expression" dxfId="428" priority="225">
      <formula>$H212=CONST_NA</formula>
    </cfRule>
  </conditionalFormatting>
  <conditionalFormatting sqref="E267">
    <cfRule type="expression" dxfId="427" priority="204">
      <formula>$X267</formula>
    </cfRule>
  </conditionalFormatting>
  <conditionalFormatting sqref="O262">
    <cfRule type="expression" dxfId="426" priority="202">
      <formula>$V262=TRUE</formula>
    </cfRule>
    <cfRule type="expression" dxfId="425" priority="203">
      <formula>$V262=CONST_NA</formula>
    </cfRule>
  </conditionalFormatting>
  <conditionalFormatting sqref="O266">
    <cfRule type="expression" dxfId="424" priority="200">
      <formula>$V266=TRUE</formula>
    </cfRule>
    <cfRule type="expression" dxfId="423" priority="201">
      <formula>$V266=CONST_NA</formula>
    </cfRule>
  </conditionalFormatting>
  <conditionalFormatting sqref="O267">
    <cfRule type="expression" dxfId="422" priority="198">
      <formula>$V267=TRUE</formula>
    </cfRule>
    <cfRule type="expression" dxfId="421" priority="199">
      <formula>$V267=CONST_NA</formula>
    </cfRule>
  </conditionalFormatting>
  <conditionalFormatting sqref="D316:M332">
    <cfRule type="expression" dxfId="420" priority="195">
      <formula>$X316</formula>
    </cfRule>
  </conditionalFormatting>
  <conditionalFormatting sqref="D291:M301 M302">
    <cfRule type="expression" dxfId="419" priority="194">
      <formula>$X291</formula>
    </cfRule>
  </conditionalFormatting>
  <conditionalFormatting sqref="O276:O283 O292:O302">
    <cfRule type="expression" dxfId="418" priority="192">
      <formula>$V276=TRUE</formula>
    </cfRule>
    <cfRule type="expression" dxfId="417" priority="193">
      <formula>$V276=CONST_NA</formula>
    </cfRule>
  </conditionalFormatting>
  <conditionalFormatting sqref="O317">
    <cfRule type="expression" dxfId="416" priority="190">
      <formula>$V317=TRUE</formula>
    </cfRule>
    <cfRule type="expression" dxfId="415" priority="191">
      <formula>$V317=CONST_NA</formula>
    </cfRule>
  </conditionalFormatting>
  <conditionalFormatting sqref="O318">
    <cfRule type="expression" dxfId="414" priority="188">
      <formula>$V318=TRUE</formula>
    </cfRule>
    <cfRule type="expression" dxfId="413" priority="189">
      <formula>$V318=CONST_NA</formula>
    </cfRule>
  </conditionalFormatting>
  <conditionalFormatting sqref="O321">
    <cfRule type="expression" dxfId="412" priority="186">
      <formula>$V321=TRUE</formula>
    </cfRule>
    <cfRule type="expression" dxfId="411" priority="187">
      <formula>$V321=CONST_NA</formula>
    </cfRule>
  </conditionalFormatting>
  <conditionalFormatting sqref="O325">
    <cfRule type="expression" dxfId="410" priority="184">
      <formula>$V325=TRUE</formula>
    </cfRule>
    <cfRule type="expression" dxfId="409" priority="185">
      <formula>$V325=CONST_NA</formula>
    </cfRule>
  </conditionalFormatting>
  <conditionalFormatting sqref="O326">
    <cfRule type="expression" dxfId="408" priority="182">
      <formula>$V326=TRUE</formula>
    </cfRule>
    <cfRule type="expression" dxfId="407" priority="183">
      <formula>$V326=CONST_NA</formula>
    </cfRule>
  </conditionalFormatting>
  <conditionalFormatting sqref="O314">
    <cfRule type="expression" dxfId="406" priority="180">
      <formula>$V314=TRUE</formula>
    </cfRule>
    <cfRule type="expression" dxfId="405" priority="181">
      <formula>$V314=CONST_NA</formula>
    </cfRule>
  </conditionalFormatting>
  <conditionalFormatting sqref="O310">
    <cfRule type="expression" dxfId="404" priority="178">
      <formula>$V310=TRUE</formula>
    </cfRule>
    <cfRule type="expression" dxfId="403" priority="179">
      <formula>$V310=CONST_NA</formula>
    </cfRule>
  </conditionalFormatting>
  <conditionalFormatting sqref="O287">
    <cfRule type="expression" dxfId="402" priority="176">
      <formula>$V287=TRUE</formula>
    </cfRule>
    <cfRule type="expression" dxfId="401" priority="177">
      <formula>$V287=CONST_NA</formula>
    </cfRule>
  </conditionalFormatting>
  <conditionalFormatting sqref="E277:M283">
    <cfRule type="expression" dxfId="400" priority="196">
      <formula>$H277=CONST_NA</formula>
    </cfRule>
  </conditionalFormatting>
  <conditionalFormatting sqref="E332">
    <cfRule type="expression" dxfId="399" priority="175">
      <formula>$X332</formula>
    </cfRule>
  </conditionalFormatting>
  <conditionalFormatting sqref="O327">
    <cfRule type="expression" dxfId="398" priority="173">
      <formula>$V327=TRUE</formula>
    </cfRule>
    <cfRule type="expression" dxfId="397" priority="174">
      <formula>$V327=CONST_NA</formula>
    </cfRule>
  </conditionalFormatting>
  <conditionalFormatting sqref="O331">
    <cfRule type="expression" dxfId="396" priority="171">
      <formula>$V331=TRUE</formula>
    </cfRule>
    <cfRule type="expression" dxfId="395" priority="172">
      <formula>$V331=CONST_NA</formula>
    </cfRule>
  </conditionalFormatting>
  <conditionalFormatting sqref="O332">
    <cfRule type="expression" dxfId="394" priority="169">
      <formula>$V332=TRUE</formula>
    </cfRule>
    <cfRule type="expression" dxfId="393" priority="170">
      <formula>$V332=CONST_NA</formula>
    </cfRule>
  </conditionalFormatting>
  <conditionalFormatting sqref="D381:M397">
    <cfRule type="expression" dxfId="392" priority="166">
      <formula>$X381</formula>
    </cfRule>
  </conditionalFormatting>
  <conditionalFormatting sqref="D356:M366 M367">
    <cfRule type="expression" dxfId="391" priority="165">
      <formula>$X356</formula>
    </cfRule>
  </conditionalFormatting>
  <conditionalFormatting sqref="O341:O348 O357:O367">
    <cfRule type="expression" dxfId="390" priority="163">
      <formula>$V341=TRUE</formula>
    </cfRule>
    <cfRule type="expression" dxfId="389" priority="164">
      <formula>$V341=CONST_NA</formula>
    </cfRule>
  </conditionalFormatting>
  <conditionalFormatting sqref="O382">
    <cfRule type="expression" dxfId="388" priority="161">
      <formula>$V382=TRUE</formula>
    </cfRule>
    <cfRule type="expression" dxfId="387" priority="162">
      <formula>$V382=CONST_NA</formula>
    </cfRule>
  </conditionalFormatting>
  <conditionalFormatting sqref="O383">
    <cfRule type="expression" dxfId="386" priority="159">
      <formula>$V383=TRUE</formula>
    </cfRule>
    <cfRule type="expression" dxfId="385" priority="160">
      <formula>$V383=CONST_NA</formula>
    </cfRule>
  </conditionalFormatting>
  <conditionalFormatting sqref="O386">
    <cfRule type="expression" dxfId="384" priority="157">
      <formula>$V386=TRUE</formula>
    </cfRule>
    <cfRule type="expression" dxfId="383" priority="158">
      <formula>$V386=CONST_NA</formula>
    </cfRule>
  </conditionalFormatting>
  <conditionalFormatting sqref="O390">
    <cfRule type="expression" dxfId="382" priority="155">
      <formula>$V390=TRUE</formula>
    </cfRule>
    <cfRule type="expression" dxfId="381" priority="156">
      <formula>$V390=CONST_NA</formula>
    </cfRule>
  </conditionalFormatting>
  <conditionalFormatting sqref="O391">
    <cfRule type="expression" dxfId="380" priority="153">
      <formula>$V391=TRUE</formula>
    </cfRule>
    <cfRule type="expression" dxfId="379" priority="154">
      <formula>$V391=CONST_NA</formula>
    </cfRule>
  </conditionalFormatting>
  <conditionalFormatting sqref="O379">
    <cfRule type="expression" dxfId="378" priority="151">
      <formula>$V379=TRUE</formula>
    </cfRule>
    <cfRule type="expression" dxfId="377" priority="152">
      <formula>$V379=CONST_NA</formula>
    </cfRule>
  </conditionalFormatting>
  <conditionalFormatting sqref="O375">
    <cfRule type="expression" dxfId="376" priority="149">
      <formula>$V375=TRUE</formula>
    </cfRule>
    <cfRule type="expression" dxfId="375" priority="150">
      <formula>$V375=CONST_NA</formula>
    </cfRule>
  </conditionalFormatting>
  <conditionalFormatting sqref="O352">
    <cfRule type="expression" dxfId="374" priority="147">
      <formula>$V352=TRUE</formula>
    </cfRule>
    <cfRule type="expression" dxfId="373" priority="148">
      <formula>$V352=CONST_NA</formula>
    </cfRule>
  </conditionalFormatting>
  <conditionalFormatting sqref="E342:M348">
    <cfRule type="expression" dxfId="372" priority="167">
      <formula>$H342=CONST_NA</formula>
    </cfRule>
  </conditionalFormatting>
  <conditionalFormatting sqref="E397">
    <cfRule type="expression" dxfId="371" priority="146">
      <formula>$X397</formula>
    </cfRule>
  </conditionalFormatting>
  <conditionalFormatting sqref="O392">
    <cfRule type="expression" dxfId="370" priority="144">
      <formula>$V392=TRUE</formula>
    </cfRule>
    <cfRule type="expression" dxfId="369" priority="145">
      <formula>$V392=CONST_NA</formula>
    </cfRule>
  </conditionalFormatting>
  <conditionalFormatting sqref="O396">
    <cfRule type="expression" dxfId="368" priority="142">
      <formula>$V396=TRUE</formula>
    </cfRule>
    <cfRule type="expression" dxfId="367" priority="143">
      <formula>$V396=CONST_NA</formula>
    </cfRule>
  </conditionalFormatting>
  <conditionalFormatting sqref="O397">
    <cfRule type="expression" dxfId="366" priority="140">
      <formula>$V397=TRUE</formula>
    </cfRule>
    <cfRule type="expression" dxfId="365" priority="141">
      <formula>$V397=CONST_NA</formula>
    </cfRule>
  </conditionalFormatting>
  <conditionalFormatting sqref="D446:M462">
    <cfRule type="expression" dxfId="364" priority="137">
      <formula>$X446</formula>
    </cfRule>
  </conditionalFormatting>
  <conditionalFormatting sqref="D421:M431 M432">
    <cfRule type="expression" dxfId="363" priority="136">
      <formula>$X421</formula>
    </cfRule>
  </conditionalFormatting>
  <conditionalFormatting sqref="O406:O413 O422:O432">
    <cfRule type="expression" dxfId="362" priority="134">
      <formula>$V406=TRUE</formula>
    </cfRule>
    <cfRule type="expression" dxfId="361" priority="135">
      <formula>$V406=CONST_NA</formula>
    </cfRule>
  </conditionalFormatting>
  <conditionalFormatting sqref="O447">
    <cfRule type="expression" dxfId="360" priority="132">
      <formula>$V447=TRUE</formula>
    </cfRule>
    <cfRule type="expression" dxfId="359" priority="133">
      <formula>$V447=CONST_NA</formula>
    </cfRule>
  </conditionalFormatting>
  <conditionalFormatting sqref="O448">
    <cfRule type="expression" dxfId="358" priority="130">
      <formula>$V448=TRUE</formula>
    </cfRule>
    <cfRule type="expression" dxfId="357" priority="131">
      <formula>$V448=CONST_NA</formula>
    </cfRule>
  </conditionalFormatting>
  <conditionalFormatting sqref="O451">
    <cfRule type="expression" dxfId="356" priority="128">
      <formula>$V451=TRUE</formula>
    </cfRule>
    <cfRule type="expression" dxfId="355" priority="129">
      <formula>$V451=CONST_NA</formula>
    </cfRule>
  </conditionalFormatting>
  <conditionalFormatting sqref="O455">
    <cfRule type="expression" dxfId="354" priority="126">
      <formula>$V455=TRUE</formula>
    </cfRule>
    <cfRule type="expression" dxfId="353" priority="127">
      <formula>$V455=CONST_NA</formula>
    </cfRule>
  </conditionalFormatting>
  <conditionalFormatting sqref="O456">
    <cfRule type="expression" dxfId="352" priority="124">
      <formula>$V456=TRUE</formula>
    </cfRule>
    <cfRule type="expression" dxfId="351" priority="125">
      <formula>$V456=CONST_NA</formula>
    </cfRule>
  </conditionalFormatting>
  <conditionalFormatting sqref="O444">
    <cfRule type="expression" dxfId="350" priority="122">
      <formula>$V444=TRUE</formula>
    </cfRule>
    <cfRule type="expression" dxfId="349" priority="123">
      <formula>$V444=CONST_NA</formula>
    </cfRule>
  </conditionalFormatting>
  <conditionalFormatting sqref="O440">
    <cfRule type="expression" dxfId="348" priority="120">
      <formula>$V440=TRUE</formula>
    </cfRule>
    <cfRule type="expression" dxfId="347" priority="121">
      <formula>$V440=CONST_NA</formula>
    </cfRule>
  </conditionalFormatting>
  <conditionalFormatting sqref="O417">
    <cfRule type="expression" dxfId="346" priority="118">
      <formula>$V417=TRUE</formula>
    </cfRule>
    <cfRule type="expression" dxfId="345" priority="119">
      <formula>$V417=CONST_NA</formula>
    </cfRule>
  </conditionalFormatting>
  <conditionalFormatting sqref="E407:M413">
    <cfRule type="expression" dxfId="344" priority="138">
      <formula>$H407=CONST_NA</formula>
    </cfRule>
  </conditionalFormatting>
  <conditionalFormatting sqref="E462">
    <cfRule type="expression" dxfId="343" priority="117">
      <formula>$X462</formula>
    </cfRule>
  </conditionalFormatting>
  <conditionalFormatting sqref="O457">
    <cfRule type="expression" dxfId="342" priority="115">
      <formula>$V457=TRUE</formula>
    </cfRule>
    <cfRule type="expression" dxfId="341" priority="116">
      <formula>$V457=CONST_NA</formula>
    </cfRule>
  </conditionalFormatting>
  <conditionalFormatting sqref="O461">
    <cfRule type="expression" dxfId="340" priority="113">
      <formula>$V461=TRUE</formula>
    </cfRule>
    <cfRule type="expression" dxfId="339" priority="114">
      <formula>$V461=CONST_NA</formula>
    </cfRule>
  </conditionalFormatting>
  <conditionalFormatting sqref="O462">
    <cfRule type="expression" dxfId="338" priority="111">
      <formula>$V462=TRUE</formula>
    </cfRule>
    <cfRule type="expression" dxfId="337" priority="112">
      <formula>$V462=CONST_NA</formula>
    </cfRule>
  </conditionalFormatting>
  <conditionalFormatting sqref="D511:M527">
    <cfRule type="expression" dxfId="336" priority="108">
      <formula>$X511</formula>
    </cfRule>
  </conditionalFormatting>
  <conditionalFormatting sqref="D486:M496 M497">
    <cfRule type="expression" dxfId="335" priority="107">
      <formula>$X486</formula>
    </cfRule>
  </conditionalFormatting>
  <conditionalFormatting sqref="O471:O478 O487:O497">
    <cfRule type="expression" dxfId="334" priority="105">
      <formula>$V471=TRUE</formula>
    </cfRule>
    <cfRule type="expression" dxfId="333" priority="106">
      <formula>$V471=CONST_NA</formula>
    </cfRule>
  </conditionalFormatting>
  <conditionalFormatting sqref="O512">
    <cfRule type="expression" dxfId="332" priority="103">
      <formula>$V512=TRUE</formula>
    </cfRule>
    <cfRule type="expression" dxfId="331" priority="104">
      <formula>$V512=CONST_NA</formula>
    </cfRule>
  </conditionalFormatting>
  <conditionalFormatting sqref="O513">
    <cfRule type="expression" dxfId="330" priority="101">
      <formula>$V513=TRUE</formula>
    </cfRule>
    <cfRule type="expression" dxfId="329" priority="102">
      <formula>$V513=CONST_NA</formula>
    </cfRule>
  </conditionalFormatting>
  <conditionalFormatting sqref="O516">
    <cfRule type="expression" dxfId="328" priority="99">
      <formula>$V516=TRUE</formula>
    </cfRule>
    <cfRule type="expression" dxfId="327" priority="100">
      <formula>$V516=CONST_NA</formula>
    </cfRule>
  </conditionalFormatting>
  <conditionalFormatting sqref="O520">
    <cfRule type="expression" dxfId="326" priority="97">
      <formula>$V520=TRUE</formula>
    </cfRule>
    <cfRule type="expression" dxfId="325" priority="98">
      <formula>$V520=CONST_NA</formula>
    </cfRule>
  </conditionalFormatting>
  <conditionalFormatting sqref="O521">
    <cfRule type="expression" dxfId="324" priority="95">
      <formula>$V521=TRUE</formula>
    </cfRule>
    <cfRule type="expression" dxfId="323" priority="96">
      <formula>$V521=CONST_NA</formula>
    </cfRule>
  </conditionalFormatting>
  <conditionalFormatting sqref="O509">
    <cfRule type="expression" dxfId="322" priority="93">
      <formula>$V509=TRUE</formula>
    </cfRule>
    <cfRule type="expression" dxfId="321" priority="94">
      <formula>$V509=CONST_NA</formula>
    </cfRule>
  </conditionalFormatting>
  <conditionalFormatting sqref="O505">
    <cfRule type="expression" dxfId="320" priority="91">
      <formula>$V505=TRUE</formula>
    </cfRule>
    <cfRule type="expression" dxfId="319" priority="92">
      <formula>$V505=CONST_NA</formula>
    </cfRule>
  </conditionalFormatting>
  <conditionalFormatting sqref="O482">
    <cfRule type="expression" dxfId="318" priority="89">
      <formula>$V482=TRUE</formula>
    </cfRule>
    <cfRule type="expression" dxfId="317" priority="90">
      <formula>$V482=CONST_NA</formula>
    </cfRule>
  </conditionalFormatting>
  <conditionalFormatting sqref="E472:M478">
    <cfRule type="expression" dxfId="316" priority="109">
      <formula>$H472=CONST_NA</formula>
    </cfRule>
  </conditionalFormatting>
  <conditionalFormatting sqref="E527">
    <cfRule type="expression" dxfId="315" priority="88">
      <formula>$X527</formula>
    </cfRule>
  </conditionalFormatting>
  <conditionalFormatting sqref="O522">
    <cfRule type="expression" dxfId="314" priority="86">
      <formula>$V522=TRUE</formula>
    </cfRule>
    <cfRule type="expression" dxfId="313" priority="87">
      <formula>$V522=CONST_NA</formula>
    </cfRule>
  </conditionalFormatting>
  <conditionalFormatting sqref="O526">
    <cfRule type="expression" dxfId="312" priority="84">
      <formula>$V526=TRUE</formula>
    </cfRule>
    <cfRule type="expression" dxfId="311" priority="85">
      <formula>$V526=CONST_NA</formula>
    </cfRule>
  </conditionalFormatting>
  <conditionalFormatting sqref="O527">
    <cfRule type="expression" dxfId="310" priority="82">
      <formula>$V527=TRUE</formula>
    </cfRule>
    <cfRule type="expression" dxfId="309" priority="83">
      <formula>$V527=CONST_NA</formula>
    </cfRule>
  </conditionalFormatting>
  <conditionalFormatting sqref="D576:M592">
    <cfRule type="expression" dxfId="308" priority="79">
      <formula>$X576</formula>
    </cfRule>
  </conditionalFormatting>
  <conditionalFormatting sqref="D551:M561 M562">
    <cfRule type="expression" dxfId="307" priority="78">
      <formula>$X551</formula>
    </cfRule>
  </conditionalFormatting>
  <conditionalFormatting sqref="O536:O543 O552:O562">
    <cfRule type="expression" dxfId="306" priority="76">
      <formula>$V536=TRUE</formula>
    </cfRule>
    <cfRule type="expression" dxfId="305" priority="77">
      <formula>$V536=CONST_NA</formula>
    </cfRule>
  </conditionalFormatting>
  <conditionalFormatting sqref="O577">
    <cfRule type="expression" dxfId="304" priority="74">
      <formula>$V577=TRUE</formula>
    </cfRule>
    <cfRule type="expression" dxfId="303" priority="75">
      <formula>$V577=CONST_NA</formula>
    </cfRule>
  </conditionalFormatting>
  <conditionalFormatting sqref="O578">
    <cfRule type="expression" dxfId="302" priority="72">
      <formula>$V578=TRUE</formula>
    </cfRule>
    <cfRule type="expression" dxfId="301" priority="73">
      <formula>$V578=CONST_NA</formula>
    </cfRule>
  </conditionalFormatting>
  <conditionalFormatting sqref="O581">
    <cfRule type="expression" dxfId="300" priority="70">
      <formula>$V581=TRUE</formula>
    </cfRule>
    <cfRule type="expression" dxfId="299" priority="71">
      <formula>$V581=CONST_NA</formula>
    </cfRule>
  </conditionalFormatting>
  <conditionalFormatting sqref="O585">
    <cfRule type="expression" dxfId="298" priority="68">
      <formula>$V585=TRUE</formula>
    </cfRule>
    <cfRule type="expression" dxfId="297" priority="69">
      <formula>$V585=CONST_NA</formula>
    </cfRule>
  </conditionalFormatting>
  <conditionalFormatting sqref="O586">
    <cfRule type="expression" dxfId="296" priority="66">
      <formula>$V586=TRUE</formula>
    </cfRule>
    <cfRule type="expression" dxfId="295" priority="67">
      <formula>$V586=CONST_NA</formula>
    </cfRule>
  </conditionalFormatting>
  <conditionalFormatting sqref="O574">
    <cfRule type="expression" dxfId="294" priority="64">
      <formula>$V574=TRUE</formula>
    </cfRule>
    <cfRule type="expression" dxfId="293" priority="65">
      <formula>$V574=CONST_NA</formula>
    </cfRule>
  </conditionalFormatting>
  <conditionalFormatting sqref="O570">
    <cfRule type="expression" dxfId="292" priority="62">
      <formula>$V570=TRUE</formula>
    </cfRule>
    <cfRule type="expression" dxfId="291" priority="63">
      <formula>$V570=CONST_NA</formula>
    </cfRule>
  </conditionalFormatting>
  <conditionalFormatting sqref="O547">
    <cfRule type="expression" dxfId="290" priority="60">
      <formula>$V547=TRUE</formula>
    </cfRule>
    <cfRule type="expression" dxfId="289" priority="61">
      <formula>$V547=CONST_NA</formula>
    </cfRule>
  </conditionalFormatting>
  <conditionalFormatting sqref="E537:M543">
    <cfRule type="expression" dxfId="288" priority="80">
      <formula>$H537=CONST_NA</formula>
    </cfRule>
  </conditionalFormatting>
  <conditionalFormatting sqref="E592">
    <cfRule type="expression" dxfId="287" priority="59">
      <formula>$X592</formula>
    </cfRule>
  </conditionalFormatting>
  <conditionalFormatting sqref="O587">
    <cfRule type="expression" dxfId="286" priority="57">
      <formula>$V587=TRUE</formula>
    </cfRule>
    <cfRule type="expression" dxfId="285" priority="58">
      <formula>$V587=CONST_NA</formula>
    </cfRule>
  </conditionalFormatting>
  <conditionalFormatting sqref="O591">
    <cfRule type="expression" dxfId="284" priority="55">
      <formula>$V591=TRUE</formula>
    </cfRule>
    <cfRule type="expression" dxfId="283" priority="56">
      <formula>$V591=CONST_NA</formula>
    </cfRule>
  </conditionalFormatting>
  <conditionalFormatting sqref="O592">
    <cfRule type="expression" dxfId="282" priority="53">
      <formula>$V592=TRUE</formula>
    </cfRule>
    <cfRule type="expression" dxfId="281" priority="54">
      <formula>$V592=CONST_NA</formula>
    </cfRule>
  </conditionalFormatting>
  <conditionalFormatting sqref="D641:M657">
    <cfRule type="expression" dxfId="280" priority="50">
      <formula>$X641</formula>
    </cfRule>
  </conditionalFormatting>
  <conditionalFormatting sqref="D616:M626 M627">
    <cfRule type="expression" dxfId="279" priority="49">
      <formula>$X616</formula>
    </cfRule>
  </conditionalFormatting>
  <conditionalFormatting sqref="O601:O608 O617:O627">
    <cfRule type="expression" dxfId="278" priority="47">
      <formula>$V601=TRUE</formula>
    </cfRule>
    <cfRule type="expression" dxfId="277" priority="48">
      <formula>$V601=CONST_NA</formula>
    </cfRule>
  </conditionalFormatting>
  <conditionalFormatting sqref="O642">
    <cfRule type="expression" dxfId="276" priority="45">
      <formula>$V642=TRUE</formula>
    </cfRule>
    <cfRule type="expression" dxfId="275" priority="46">
      <formula>$V642=CONST_NA</formula>
    </cfRule>
  </conditionalFormatting>
  <conditionalFormatting sqref="O643">
    <cfRule type="expression" dxfId="274" priority="43">
      <formula>$V643=TRUE</formula>
    </cfRule>
    <cfRule type="expression" dxfId="273" priority="44">
      <formula>$V643=CONST_NA</formula>
    </cfRule>
  </conditionalFormatting>
  <conditionalFormatting sqref="O646">
    <cfRule type="expression" dxfId="272" priority="41">
      <formula>$V646=TRUE</formula>
    </cfRule>
    <cfRule type="expression" dxfId="271" priority="42">
      <formula>$V646=CONST_NA</formula>
    </cfRule>
  </conditionalFormatting>
  <conditionalFormatting sqref="O650">
    <cfRule type="expression" dxfId="270" priority="39">
      <formula>$V650=TRUE</formula>
    </cfRule>
    <cfRule type="expression" dxfId="269" priority="40">
      <formula>$V650=CONST_NA</formula>
    </cfRule>
  </conditionalFormatting>
  <conditionalFormatting sqref="O651">
    <cfRule type="expression" dxfId="268" priority="37">
      <formula>$V651=TRUE</formula>
    </cfRule>
    <cfRule type="expression" dxfId="267" priority="38">
      <formula>$V651=CONST_NA</formula>
    </cfRule>
  </conditionalFormatting>
  <conditionalFormatting sqref="O639">
    <cfRule type="expression" dxfId="266" priority="35">
      <formula>$V639=TRUE</formula>
    </cfRule>
    <cfRule type="expression" dxfId="265" priority="36">
      <formula>$V639=CONST_NA</formula>
    </cfRule>
  </conditionalFormatting>
  <conditionalFormatting sqref="O635">
    <cfRule type="expression" dxfId="264" priority="33">
      <formula>$V635=TRUE</formula>
    </cfRule>
    <cfRule type="expression" dxfId="263" priority="34">
      <formula>$V635=CONST_NA</formula>
    </cfRule>
  </conditionalFormatting>
  <conditionalFormatting sqref="O612">
    <cfRule type="expression" dxfId="262" priority="31">
      <formula>$V612=TRUE</formula>
    </cfRule>
    <cfRule type="expression" dxfId="261" priority="32">
      <formula>$V612=CONST_NA</formula>
    </cfRule>
  </conditionalFormatting>
  <conditionalFormatting sqref="E602:M608">
    <cfRule type="expression" dxfId="260" priority="51">
      <formula>$H602=CONST_NA</formula>
    </cfRule>
  </conditionalFormatting>
  <conditionalFormatting sqref="E657">
    <cfRule type="expression" dxfId="259" priority="30">
      <formula>$X657</formula>
    </cfRule>
  </conditionalFormatting>
  <conditionalFormatting sqref="O652">
    <cfRule type="expression" dxfId="258" priority="28">
      <formula>$V652=TRUE</formula>
    </cfRule>
    <cfRule type="expression" dxfId="257" priority="29">
      <formula>$V652=CONST_NA</formula>
    </cfRule>
  </conditionalFormatting>
  <conditionalFormatting sqref="O656">
    <cfRule type="expression" dxfId="256" priority="26">
      <formula>$V656=TRUE</formula>
    </cfRule>
    <cfRule type="expression" dxfId="255" priority="27">
      <formula>$V656=CONST_NA</formula>
    </cfRule>
  </conditionalFormatting>
  <conditionalFormatting sqref="O657">
    <cfRule type="expression" dxfId="254" priority="24">
      <formula>$V657=TRUE</formula>
    </cfRule>
    <cfRule type="expression" dxfId="253" priority="25">
      <formula>$V657=CONST_NA</formula>
    </cfRule>
  </conditionalFormatting>
  <conditionalFormatting sqref="L16">
    <cfRule type="expression" dxfId="252" priority="3">
      <formula>INDEX($X:$X,MATCH(MAX(INDIRECT(ADDRESS(1,3)&amp;":"&amp;ADDRESS(ROW(M16),3))),$C:$C,0))</formula>
    </cfRule>
  </conditionalFormatting>
  <conditionalFormatting sqref="L65">
    <cfRule type="expression" dxfId="251" priority="2">
      <formula>$X65</formula>
    </cfRule>
  </conditionalFormatting>
  <conditionalFormatting sqref="L65">
    <cfRule type="expression" dxfId="250" priority="1">
      <formula>INDEX($X:$X,MATCH(MAX(INDIRECT(ADDRESS(1,3)&amp;":"&amp;ADDRESS(ROW(M65),3))),$C:$C,0))</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75" t="str">
        <f>Translations!$B$124</f>
        <v>Purchased precursors</v>
      </c>
      <c r="C2" s="1176"/>
      <c r="D2" s="1177"/>
      <c r="E2" s="1184" t="str">
        <f>Translations!$B$11</f>
        <v>Navigation Area:</v>
      </c>
      <c r="F2" s="1185"/>
      <c r="G2" s="1189" t="str">
        <f ca="1">HYPERLINK("#"&amp;ADDRESS(2,3,,,a_Contents!$U$2),a_Contents!$B$2)</f>
        <v>Table of contents</v>
      </c>
      <c r="H2" s="1190"/>
      <c r="I2" s="1186" t="str">
        <f ca="1">HYPERLINK("#"&amp;ADDRESS(MATCH($S10,G_FurtherGuidance!$S:$S,0),3,,,G_FurtherGuidance!$U$2),G_FurtherGuidance!$B$2)</f>
        <v>Further Guidance</v>
      </c>
      <c r="J2" s="1187"/>
      <c r="K2" s="1186" t="str">
        <f ca="1">HYPERLINK("#"&amp;ADDRESS(2,3,,,Summary_Processes!$Y$2),Summary_Processes!$Y$2)</f>
        <v>Summary_Processes</v>
      </c>
      <c r="L2" s="1187"/>
      <c r="M2" s="1186" t="str">
        <f ca="1">HYPERLINK("#"&amp;ADDRESS(2,3,,,Summary_Products!$BF$2),Summary_Products!$BF$2)</f>
        <v>Summary_Products</v>
      </c>
      <c r="N2" s="1187"/>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78"/>
      <c r="C3" s="1179"/>
      <c r="D3" s="1180"/>
      <c r="E3" s="1338" t="str">
        <f>IF(INDEX(CNTR_List_ExistPurchPrecNames,R3)=CONST_NA,"",HYPERLINK("#"&amp;ADDRESS(ROW($C$14)+MATCH(R3,$C$14:$C$1032,0)-1,COLUMN($C$14)),INDEX(CNTR_List_ExistPurchPrecNames,R3)))</f>
        <v/>
      </c>
      <c r="F3" s="1328"/>
      <c r="G3" s="1339" t="str">
        <f>IF(INDEX(CNTR_List_ExistPurchPrecNames,T3)=CONST_NA,"",HYPERLINK("#"&amp;ADDRESS(ROW($C$14)+MATCH(T3,$C$14:$C$1032,0)-1,COLUMN($C$14)),INDEX(CNTR_List_ExistPurchPrecNames,T3)))</f>
        <v/>
      </c>
      <c r="H3" s="1328"/>
      <c r="I3" s="1327" t="str">
        <f>IF(INDEX(CNTR_List_ExistPurchPrecNames,V3)=CONST_NA,"",HYPERLINK("#"&amp;ADDRESS(ROW($C$14)+MATCH(V3,$C$14:$C$1032,0)-1,COLUMN($C$14)),INDEX(CNTR_List_ExistPurchPrecNames,V3)))</f>
        <v/>
      </c>
      <c r="J3" s="1328"/>
      <c r="K3" s="1327" t="str">
        <f>IF(INDEX(CNTR_List_ExistPurchPrecNames,X3)=CONST_NA,"",HYPERLINK("#"&amp;ADDRESS(ROW($C$14)+MATCH(X3,$C$14:$C$1032,0)-1,COLUMN($C$14)),INDEX(CNTR_List_ExistPurchPrecNames,X3)))</f>
        <v/>
      </c>
      <c r="L3" s="1328"/>
      <c r="M3" s="1327" t="str">
        <f>IF(INDEX(CNTR_List_ExistPurchPrecNames,Z3)=CONST_NA,"",HYPERLINK("#"&amp;ADDRESS(ROW($C$14)+MATCH(Z3,$C$14:$C$1032,0)-1,COLUMN($C$14)),INDEX(CNTR_List_ExistPurchPrecNames,Z3)))</f>
        <v/>
      </c>
      <c r="N3" s="1329"/>
      <c r="O3" s="428"/>
      <c r="R3" s="302">
        <v>1</v>
      </c>
      <c r="S3" s="303"/>
      <c r="T3" s="303">
        <f>R3+1</f>
        <v>2</v>
      </c>
      <c r="U3" s="303"/>
      <c r="V3" s="303">
        <f>T3+1</f>
        <v>3</v>
      </c>
      <c r="W3" s="303"/>
      <c r="X3" s="303">
        <f>V3+1</f>
        <v>4</v>
      </c>
      <c r="Y3" s="303"/>
      <c r="Z3" s="304">
        <f>X3+1</f>
        <v>5</v>
      </c>
    </row>
    <row r="4" spans="1:26" ht="14.1" customHeight="1" x14ac:dyDescent="0.3">
      <c r="B4" s="1178"/>
      <c r="C4" s="1179"/>
      <c r="D4" s="1180"/>
      <c r="E4" s="1334" t="str">
        <f>IF(INDEX(CNTR_List_ExistPurchPrecNames,R4)=CONST_NA,"",HYPERLINK("#"&amp;ADDRESS(ROW($C$14)+MATCH(R4,$C$14:$C$1032,0)-1,COLUMN($C$14)),INDEX(CNTR_List_ExistPurchPrecNames,R4)))</f>
        <v/>
      </c>
      <c r="F4" s="1335"/>
      <c r="G4" s="1336" t="str">
        <f>IF(INDEX(CNTR_List_ExistPurchPrecNames,T4)=CONST_NA,"",HYPERLINK("#"&amp;ADDRESS(ROW($C$14)+MATCH(T4,$C$14:$C$1032,0)-1,COLUMN($C$14)),INDEX(CNTR_List_ExistPurchPrecNames,T4)))</f>
        <v/>
      </c>
      <c r="H4" s="1335"/>
      <c r="I4" s="1336" t="str">
        <f>IF(INDEX(CNTR_List_ExistPurchPrecNames,V4)=CONST_NA,"",HYPERLINK("#"&amp;ADDRESS(ROW($C$14)+MATCH(V4,$C$14:$C$1032,0)-1,COLUMN($C$14)),INDEX(CNTR_List_ExistPurchPrecNames,V4)))</f>
        <v/>
      </c>
      <c r="J4" s="1335"/>
      <c r="K4" s="1336" t="str">
        <f>IF(INDEX(CNTR_List_ExistPurchPrecNames,X4)=CONST_NA,"",HYPERLINK("#"&amp;ADDRESS(ROW($C$14)+MATCH(X4,$C$14:$C$1032,0)-1,COLUMN($C$14)),INDEX(CNTR_List_ExistPurchPrecNames,X4)))</f>
        <v/>
      </c>
      <c r="L4" s="1335"/>
      <c r="M4" s="1336" t="str">
        <f>IF(INDEX(CNTR_List_ExistPurchPrecNames,Z4)=CONST_NA,"",HYPERLINK("#"&amp;ADDRESS(ROW($C$14)+MATCH(Z4,$C$14:$C$1032,0)-1,COLUMN($C$14)),INDEX(CNTR_List_ExistPurchPrecNames,Z4)))</f>
        <v/>
      </c>
      <c r="N4" s="1337"/>
      <c r="O4" s="428"/>
      <c r="R4" s="305">
        <f>Z3+1</f>
        <v>6</v>
      </c>
      <c r="S4" s="156"/>
      <c r="T4" s="156">
        <f>R4+1</f>
        <v>7</v>
      </c>
      <c r="U4" s="156"/>
      <c r="V4" s="156">
        <f>T4+1</f>
        <v>8</v>
      </c>
      <c r="W4" s="156"/>
      <c r="X4" s="156">
        <f>V4+1</f>
        <v>9</v>
      </c>
      <c r="Y4" s="156"/>
      <c r="Z4" s="306">
        <f>X4+1</f>
        <v>10</v>
      </c>
    </row>
    <row r="5" spans="1:26" ht="14.1" customHeight="1" x14ac:dyDescent="0.3">
      <c r="B5" s="1178"/>
      <c r="C5" s="1179"/>
      <c r="D5" s="1180"/>
      <c r="E5" s="1334" t="str">
        <f>IF(INDEX(CNTR_List_ExistPurchPrecNames,R5)=CONST_NA,"",HYPERLINK("#"&amp;ADDRESS(ROW($C$14)+MATCH(R5,$C$14:$C$1032,0)-1,COLUMN($C$14)),INDEX(CNTR_List_ExistPurchPrecNames,R5)))</f>
        <v/>
      </c>
      <c r="F5" s="1335"/>
      <c r="G5" s="1336" t="str">
        <f>IF(INDEX(CNTR_List_ExistPurchPrecNames,T5)=CONST_NA,"",HYPERLINK("#"&amp;ADDRESS(ROW($C$14)+MATCH(T5,$C$14:$C$1032,0)-1,COLUMN($C$14)),INDEX(CNTR_List_ExistPurchPrecNames,T5)))</f>
        <v/>
      </c>
      <c r="H5" s="1335"/>
      <c r="I5" s="1336" t="str">
        <f>IF(INDEX(CNTR_List_ExistPurchPrecNames,V5)=CONST_NA,"",HYPERLINK("#"&amp;ADDRESS(ROW($C$14)+MATCH(V5,$C$14:$C$1032,0)-1,COLUMN($C$14)),INDEX(CNTR_List_ExistPurchPrecNames,V5)))</f>
        <v/>
      </c>
      <c r="J5" s="1335"/>
      <c r="K5" s="1336" t="str">
        <f>IF(INDEX(CNTR_List_ExistPurchPrecNames,X5)=CONST_NA,"",HYPERLINK("#"&amp;ADDRESS(ROW($C$14)+MATCH(X5,$C$14:$C$1032,0)-1,COLUMN($C$14)),INDEX(CNTR_List_ExistPurchPrecNames,X5)))</f>
        <v/>
      </c>
      <c r="L5" s="1335"/>
      <c r="M5" s="1336" t="str">
        <f>IF(INDEX(CNTR_List_ExistPurchPrecNames,Z5)=CONST_NA,"",HYPERLINK("#"&amp;ADDRESS(ROW($C$14)+MATCH(Z5,$C$14:$C$1032,0)-1,COLUMN($C$14)),INDEX(CNTR_List_ExistPurchPrecNames,Z5)))</f>
        <v/>
      </c>
      <c r="N5" s="1337"/>
      <c r="O5" s="428"/>
      <c r="R5" s="305">
        <f>Z4+1</f>
        <v>11</v>
      </c>
      <c r="S5" s="156"/>
      <c r="T5" s="156">
        <f>R5+1</f>
        <v>12</v>
      </c>
      <c r="U5" s="156"/>
      <c r="V5" s="156">
        <f>T5+1</f>
        <v>13</v>
      </c>
      <c r="W5" s="156"/>
      <c r="X5" s="156">
        <f>V5+1</f>
        <v>14</v>
      </c>
      <c r="Y5" s="156"/>
      <c r="Z5" s="306">
        <f>X5+1</f>
        <v>15</v>
      </c>
    </row>
    <row r="6" spans="1:26" ht="14.1" customHeight="1" thickBot="1" x14ac:dyDescent="0.35">
      <c r="B6" s="1181"/>
      <c r="C6" s="1182"/>
      <c r="D6" s="1183"/>
      <c r="E6" s="1333" t="str">
        <f>IF(INDEX(CNTR_List_ExistPurchPrecNames,R6)=CONST_NA,"",HYPERLINK("#"&amp;ADDRESS(ROW($C$14)+MATCH(R6,$C$14:$C$1032,0)-1,COLUMN($C$14)),INDEX(CNTR_List_ExistPurchPrecNames,R6)))</f>
        <v/>
      </c>
      <c r="F6" s="1331"/>
      <c r="G6" s="1330" t="str">
        <f>IF(INDEX(CNTR_List_ExistPurchPrecNames,T6)=CONST_NA,"",HYPERLINK("#"&amp;ADDRESS(ROW($C$14)+MATCH(T6,$C$14:$C$1032,0)-1,COLUMN($C$14)),INDEX(CNTR_List_ExistPurchPrecNames,T6)))</f>
        <v/>
      </c>
      <c r="H6" s="1331"/>
      <c r="I6" s="1330" t="str">
        <f>IF(INDEX(CNTR_List_ExistPurchPrecNames,V6)=CONST_NA,"",HYPERLINK("#"&amp;ADDRESS(ROW($C$14)+MATCH(V6,$C$14:$C$1032,0)-1,COLUMN($C$14)),INDEX(CNTR_List_ExistPurchPrecNames,V6)))</f>
        <v/>
      </c>
      <c r="J6" s="1331"/>
      <c r="K6" s="1330" t="str">
        <f>IF(INDEX(CNTR_List_ExistPurchPrecNames,X6)=CONST_NA,"",HYPERLINK("#"&amp;ADDRESS(ROW($C$14)+MATCH(X6,$C$14:$C$1032,0)-1,COLUMN($C$14)),INDEX(CNTR_List_ExistPurchPrecNames,X6)))</f>
        <v/>
      </c>
      <c r="L6" s="1331"/>
      <c r="M6" s="1330" t="str">
        <f>IF(INDEX(CNTR_List_ExistPurchPrecNames,Z6)=CONST_NA,"",HYPERLINK("#"&amp;ADDRESS(ROW($C$14)+MATCH(Z6,$C$14:$C$1032,0)-1,COLUMN($C$14)),INDEX(CNTR_List_ExistPurchPrecNames,Z6)))</f>
        <v/>
      </c>
      <c r="N6" s="1332"/>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7" t="str">
        <f ca="1">HYPERLINK("#"&amp;ADDRESS(MATCH($S10,G_FurtherGuidance!$S:$S,0),3,,,G_FurtherGuidance!$U$2),CONST_LinkToGuidanceSheet)</f>
        <v>Please click on this link for further guidance on how to complete this section.</v>
      </c>
      <c r="F10" s="1316"/>
      <c r="G10" s="1316"/>
      <c r="H10" s="1316"/>
      <c r="I10" s="1316"/>
      <c r="J10" s="1316"/>
      <c r="K10" s="1316"/>
      <c r="L10" s="1316"/>
      <c r="M10" s="1316"/>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10" t="str">
        <f>IF(INDEX(CNTR_List_ExistPurchPrecNames,MATCH(R14,CNTR_ListPurchPrecID,0))=CONST_NA,"",INDEX(CNTR_List_ExistPurchPrecNames,MATCH(R14,CNTR_ListPurchPrecID,0)))</f>
        <v/>
      </c>
      <c r="H14" s="1311"/>
      <c r="I14" s="1311"/>
      <c r="J14" s="1311"/>
      <c r="K14" s="1312"/>
      <c r="L14" s="1313" t="str">
        <f>IF(INDEX(CNTR_List_ExistPurchPrec,MATCH(R14,CNTR_ListPurchPrecID,0))=CONST_NA,"",INDEX(CNTR_List_ExistPurchPrec,MATCH(R14,CNTR_ListPurchPrecID,0)))</f>
        <v/>
      </c>
      <c r="M14" s="1314"/>
      <c r="N14" s="1315"/>
      <c r="O14" s="428"/>
      <c r="R14" s="149" t="str">
        <f>INDEX(CNTR_ListPurchPrecID,C14)</f>
        <v>PP1</v>
      </c>
      <c r="Y14" s="104" t="s">
        <v>2748</v>
      </c>
      <c r="Z14" s="150" t="b">
        <f>AND(CNTR_HasEntriesA,G14="")</f>
        <v>1</v>
      </c>
    </row>
    <row r="15" spans="1:26" ht="26.4" customHeight="1" x14ac:dyDescent="0.3">
      <c r="B15" s="94"/>
      <c r="C15" s="144"/>
      <c r="D15" s="914"/>
      <c r="E15" s="1322" t="str">
        <f ca="1">HYPERLINK("#"&amp;ADDRESS(MATCH($S15,G_FurtherGuidance!$S:$S,0),3,,,G_FurtherGuidance!$U$2),CONST_LinkToGuidanceSheet)</f>
        <v>Please click on this link for further guidance on how to complete this section.</v>
      </c>
      <c r="F15" s="1323"/>
      <c r="G15" s="1323"/>
      <c r="H15" s="1323"/>
      <c r="I15" s="1323"/>
      <c r="J15" s="1323"/>
      <c r="K15" s="1323"/>
      <c r="L15" s="1323"/>
      <c r="M15" s="1323"/>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3">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Cement Bubble</v>
      </c>
      <c r="F28" s="175"/>
      <c r="G28" s="175"/>
      <c r="H28" s="175"/>
      <c r="I28" s="175"/>
      <c r="J28" s="176"/>
      <c r="K28" s="155" t="str">
        <f>IF(E28="","",K25)</f>
        <v/>
      </c>
      <c r="L28" s="29"/>
      <c r="O28" s="945"/>
      <c r="P28" s="94"/>
      <c r="Q28" s="93"/>
      <c r="R28" s="102" t="str">
        <f>CONST_PrecursorToGoodInput&amp;G14 &amp;"_"&amp;E28</f>
        <v>PrecToGood__Cement Bubble</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3">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PrecToGood__</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4" t="str">
        <f>IF(G14="","",G14)</f>
        <v/>
      </c>
      <c r="K42" s="1324"/>
      <c r="L42" s="1324"/>
      <c r="M42" s="1324"/>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5"/>
      <c r="F45" s="1325"/>
      <c r="G45" s="1325"/>
      <c r="H45" s="1325"/>
      <c r="I45" s="1325"/>
      <c r="J45" s="1325"/>
      <c r="K45" s="1325"/>
      <c r="L45" s="1325"/>
      <c r="M45" s="1325"/>
      <c r="N45" s="196"/>
      <c r="O45" s="428"/>
      <c r="T45" s="712"/>
    </row>
    <row r="46" spans="1:26" ht="13.2" customHeight="1" x14ac:dyDescent="0.3">
      <c r="B46" s="94"/>
      <c r="C46" s="192"/>
      <c r="D46" s="199"/>
      <c r="E46" s="1308" t="str">
        <f ca="1">HYPERLINK("#"&amp;ADDRESS(MATCH($S46,G_FurtherGuidance!$S:$S,0),3,,,G_FurtherGuidance!$U$2),CONST_LinkToGuidanceSheet)</f>
        <v>Please click on this link for further guidance on how to complete this section.</v>
      </c>
      <c r="F46" s="1309"/>
      <c r="G46" s="1309"/>
      <c r="H46" s="1309"/>
      <c r="I46" s="1309"/>
      <c r="J46" s="1309"/>
      <c r="K46" s="1309"/>
      <c r="L46" s="1309"/>
      <c r="M46" s="1309"/>
      <c r="N46" s="196"/>
      <c r="O46" s="428"/>
      <c r="R46" s="104" t="s">
        <v>2771</v>
      </c>
      <c r="S46" s="105">
        <v>4</v>
      </c>
      <c r="T46" s="712"/>
    </row>
    <row r="47" spans="1:26" ht="4.95" customHeight="1" x14ac:dyDescent="0.3">
      <c r="B47" s="94"/>
      <c r="C47" s="192"/>
      <c r="D47" s="199"/>
      <c r="E47" s="1325"/>
      <c r="F47" s="1325"/>
      <c r="G47" s="1325"/>
      <c r="H47" s="1325"/>
      <c r="I47" s="1325"/>
      <c r="J47" s="1325"/>
      <c r="K47" s="1325"/>
      <c r="L47" s="1325"/>
      <c r="M47" s="1325"/>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6"/>
      <c r="L54" s="1326"/>
      <c r="M54" s="1326"/>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10" t="str">
        <f>IF(INDEX(CNTR_List_ExistPurchPrecNames,MATCH(R58,CNTR_ListPurchPrecID,0))=CONST_NA,"",INDEX(CNTR_List_ExistPurchPrecNames,MATCH(R58,CNTR_ListPurchPrecID,0)))</f>
        <v/>
      </c>
      <c r="H58" s="1311"/>
      <c r="I58" s="1311"/>
      <c r="J58" s="1311"/>
      <c r="K58" s="1312"/>
      <c r="L58" s="1313" t="str">
        <f>IF(INDEX(CNTR_List_ExistPurchPrec,MATCH(R58,CNTR_ListPurchPrecID,0))=CONST_NA,"",INDEX(CNTR_List_ExistPurchPrec,MATCH(R58,CNTR_ListPurchPrecID,0)))</f>
        <v/>
      </c>
      <c r="M58" s="1314"/>
      <c r="N58" s="1315"/>
      <c r="O58" s="428"/>
      <c r="R58" s="149" t="str">
        <f>INDEX(CNTR_ListPurchPrecID,C58)</f>
        <v>PP2</v>
      </c>
      <c r="Y58" s="104" t="s">
        <v>2748</v>
      </c>
      <c r="Z58" s="150" t="b">
        <f>AND(CNTR_HasEntriesA,G58="")</f>
        <v>1</v>
      </c>
    </row>
    <row r="59" spans="1:26" ht="26.4" customHeight="1" x14ac:dyDescent="0.3">
      <c r="B59" s="94"/>
      <c r="C59" s="144"/>
      <c r="D59" s="914"/>
      <c r="E59" s="1322" t="str">
        <f ca="1">HYPERLINK("#"&amp;ADDRESS(MATCH($S59,G_FurtherGuidance!$S:$S,0),3,,,G_FurtherGuidance!$U$2),CONST_LinkToGuidanceSheet)</f>
        <v>Please click on this link for further guidance on how to complete this section.</v>
      </c>
      <c r="F59" s="1323"/>
      <c r="G59" s="1323"/>
      <c r="H59" s="1323"/>
      <c r="I59" s="1323"/>
      <c r="J59" s="1323"/>
      <c r="K59" s="1323"/>
      <c r="L59" s="1323"/>
      <c r="M59" s="1323"/>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3">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Cement Bubble</v>
      </c>
      <c r="F72" s="175"/>
      <c r="G72" s="175"/>
      <c r="H72" s="175"/>
      <c r="I72" s="175"/>
      <c r="J72" s="176"/>
      <c r="K72" s="155" t="str">
        <f>IF(E72="","",K69)</f>
        <v/>
      </c>
      <c r="L72" s="29"/>
      <c r="O72" s="945"/>
      <c r="P72" s="94"/>
      <c r="Q72" s="93"/>
      <c r="R72" s="102" t="str">
        <f>CONST_PrecursorToGoodInput&amp;G58 &amp;"_"&amp;E72</f>
        <v>PrecToGood__Cement Bubble</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3">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PrecToGood__</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4" t="str">
        <f>IF(G58="","",G58)</f>
        <v/>
      </c>
      <c r="K86" s="1324"/>
      <c r="L86" s="1324"/>
      <c r="M86" s="1324"/>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5"/>
      <c r="F89" s="1325"/>
      <c r="G89" s="1325"/>
      <c r="H89" s="1325"/>
      <c r="I89" s="1325"/>
      <c r="J89" s="1325"/>
      <c r="K89" s="1325"/>
      <c r="L89" s="1325"/>
      <c r="M89" s="1325"/>
      <c r="N89" s="196"/>
      <c r="O89" s="428"/>
      <c r="T89" s="712"/>
    </row>
    <row r="90" spans="1:26" ht="13.2" customHeight="1" x14ac:dyDescent="0.3">
      <c r="B90" s="94"/>
      <c r="C90" s="192"/>
      <c r="D90" s="199"/>
      <c r="E90" s="1308" t="str">
        <f ca="1">HYPERLINK("#"&amp;ADDRESS(MATCH($S90,G_FurtherGuidance!$S:$S,0),3,,,G_FurtherGuidance!$U$2),CONST_LinkToGuidanceSheet)</f>
        <v>Please click on this link for further guidance on how to complete this section.</v>
      </c>
      <c r="F90" s="1309"/>
      <c r="G90" s="1309"/>
      <c r="H90" s="1309"/>
      <c r="I90" s="1309"/>
      <c r="J90" s="1309"/>
      <c r="K90" s="1309"/>
      <c r="L90" s="1309"/>
      <c r="M90" s="1309"/>
      <c r="N90" s="196"/>
      <c r="O90" s="428"/>
      <c r="R90" s="104" t="s">
        <v>2771</v>
      </c>
      <c r="S90" s="105">
        <v>4</v>
      </c>
      <c r="T90" s="712"/>
    </row>
    <row r="91" spans="1:26" ht="4.95" customHeight="1" x14ac:dyDescent="0.3">
      <c r="B91" s="94"/>
      <c r="C91" s="192"/>
      <c r="D91" s="199"/>
      <c r="E91" s="1325"/>
      <c r="F91" s="1325"/>
      <c r="G91" s="1325"/>
      <c r="H91" s="1325"/>
      <c r="I91" s="1325"/>
      <c r="J91" s="1325"/>
      <c r="K91" s="1325"/>
      <c r="L91" s="1325"/>
      <c r="M91" s="1325"/>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6"/>
      <c r="L98" s="1326"/>
      <c r="M98" s="1326"/>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10" t="str">
        <f>IF(INDEX(CNTR_List_ExistPurchPrecNames,MATCH(R102,CNTR_ListPurchPrecID,0))=CONST_NA,"",INDEX(CNTR_List_ExistPurchPrecNames,MATCH(R102,CNTR_ListPurchPrecID,0)))</f>
        <v/>
      </c>
      <c r="H102" s="1311"/>
      <c r="I102" s="1311"/>
      <c r="J102" s="1311"/>
      <c r="K102" s="1312"/>
      <c r="L102" s="1313" t="str">
        <f>IF(INDEX(CNTR_List_ExistPurchPrec,MATCH(R102,CNTR_ListPurchPrecID,0))=CONST_NA,"",INDEX(CNTR_List_ExistPurchPrec,MATCH(R102,CNTR_ListPurchPrecID,0)))</f>
        <v/>
      </c>
      <c r="M102" s="1314"/>
      <c r="N102" s="1315"/>
      <c r="O102" s="428"/>
      <c r="R102" s="149" t="str">
        <f>INDEX(CNTR_ListPurchPrecID,C102)</f>
        <v>PP3</v>
      </c>
      <c r="Y102" s="104" t="s">
        <v>2748</v>
      </c>
      <c r="Z102" s="150" t="b">
        <f>AND(CNTR_HasEntriesA,G102="")</f>
        <v>1</v>
      </c>
    </row>
    <row r="103" spans="1:26" ht="26.4" customHeight="1" x14ac:dyDescent="0.3">
      <c r="B103" s="94"/>
      <c r="C103" s="144"/>
      <c r="D103" s="914"/>
      <c r="E103" s="1322" t="str">
        <f ca="1">HYPERLINK("#"&amp;ADDRESS(MATCH($S103,G_FurtherGuidance!$S:$S,0),3,,,G_FurtherGuidance!$U$2),CONST_LinkToGuidanceSheet)</f>
        <v>Please click on this link for further guidance on how to complete this section.</v>
      </c>
      <c r="F103" s="1323"/>
      <c r="G103" s="1323"/>
      <c r="H103" s="1323"/>
      <c r="I103" s="1323"/>
      <c r="J103" s="1323"/>
      <c r="K103" s="1323"/>
      <c r="L103" s="1323"/>
      <c r="M103" s="1323"/>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Cement Bubble</v>
      </c>
      <c r="F116" s="175"/>
      <c r="G116" s="175"/>
      <c r="H116" s="175"/>
      <c r="I116" s="175"/>
      <c r="J116" s="176"/>
      <c r="K116" s="155" t="str">
        <f>IF(E116="","",K113)</f>
        <v/>
      </c>
      <c r="L116" s="29"/>
      <c r="O116" s="945"/>
      <c r="P116" s="94"/>
      <c r="Q116" s="93"/>
      <c r="R116" s="102" t="str">
        <f>CONST_PrecursorToGoodInput&amp;G102 &amp;"_"&amp;E116</f>
        <v>PrecToGood__Cement Bubble</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4" t="str">
        <f>IF(G102="","",G102)</f>
        <v/>
      </c>
      <c r="K130" s="1324"/>
      <c r="L130" s="1324"/>
      <c r="M130" s="1324"/>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5"/>
      <c r="F133" s="1325"/>
      <c r="G133" s="1325"/>
      <c r="H133" s="1325"/>
      <c r="I133" s="1325"/>
      <c r="J133" s="1325"/>
      <c r="K133" s="1325"/>
      <c r="L133" s="1325"/>
      <c r="M133" s="1325"/>
      <c r="N133" s="196"/>
      <c r="O133" s="428"/>
      <c r="T133" s="712"/>
    </row>
    <row r="134" spans="1:26" ht="13.2" customHeight="1" x14ac:dyDescent="0.3">
      <c r="B134" s="94"/>
      <c r="C134" s="192"/>
      <c r="D134" s="199"/>
      <c r="E134" s="1308" t="str">
        <f ca="1">HYPERLINK("#"&amp;ADDRESS(MATCH($S134,G_FurtherGuidance!$S:$S,0),3,,,G_FurtherGuidance!$U$2),CONST_LinkToGuidanceSheet)</f>
        <v>Please click on this link for further guidance on how to complete this section.</v>
      </c>
      <c r="F134" s="1309"/>
      <c r="G134" s="1309"/>
      <c r="H134" s="1309"/>
      <c r="I134" s="1309"/>
      <c r="J134" s="1309"/>
      <c r="K134" s="1309"/>
      <c r="L134" s="1309"/>
      <c r="M134" s="1309"/>
      <c r="N134" s="196"/>
      <c r="O134" s="428"/>
      <c r="R134" s="104" t="s">
        <v>2771</v>
      </c>
      <c r="S134" s="105">
        <v>4</v>
      </c>
      <c r="T134" s="712"/>
    </row>
    <row r="135" spans="1:26" ht="4.95" customHeight="1" x14ac:dyDescent="0.3">
      <c r="B135" s="94"/>
      <c r="C135" s="192"/>
      <c r="D135" s="199"/>
      <c r="E135" s="1325"/>
      <c r="F135" s="1325"/>
      <c r="G135" s="1325"/>
      <c r="H135" s="1325"/>
      <c r="I135" s="1325"/>
      <c r="J135" s="1325"/>
      <c r="K135" s="1325"/>
      <c r="L135" s="1325"/>
      <c r="M135" s="1325"/>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6"/>
      <c r="L142" s="1326"/>
      <c r="M142" s="1326"/>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10" t="str">
        <f>IF(INDEX(CNTR_List_ExistPurchPrecNames,MATCH(R146,CNTR_ListPurchPrecID,0))=CONST_NA,"",INDEX(CNTR_List_ExistPurchPrecNames,MATCH(R146,CNTR_ListPurchPrecID,0)))</f>
        <v/>
      </c>
      <c r="H146" s="1311"/>
      <c r="I146" s="1311"/>
      <c r="J146" s="1311"/>
      <c r="K146" s="1312"/>
      <c r="L146" s="1313" t="str">
        <f>IF(INDEX(CNTR_List_ExistPurchPrec,MATCH(R146,CNTR_ListPurchPrecID,0))=CONST_NA,"",INDEX(CNTR_List_ExistPurchPrec,MATCH(R146,CNTR_ListPurchPrecID,0)))</f>
        <v/>
      </c>
      <c r="M146" s="1314"/>
      <c r="N146" s="1315"/>
      <c r="O146" s="428"/>
      <c r="R146" s="149" t="str">
        <f>INDEX(CNTR_ListPurchPrecID,C146)</f>
        <v>PP4</v>
      </c>
      <c r="Y146" s="104" t="s">
        <v>2748</v>
      </c>
      <c r="Z146" s="150" t="b">
        <f>AND(CNTR_HasEntriesA,G146="")</f>
        <v>1</v>
      </c>
    </row>
    <row r="147" spans="1:26" ht="26.4" customHeight="1" x14ac:dyDescent="0.3">
      <c r="B147" s="94"/>
      <c r="C147" s="144"/>
      <c r="D147" s="914"/>
      <c r="E147" s="1322" t="str">
        <f ca="1">HYPERLINK("#"&amp;ADDRESS(MATCH($S147,G_FurtherGuidance!$S:$S,0),3,,,G_FurtherGuidance!$U$2),CONST_LinkToGuidanceSheet)</f>
        <v>Please click on this link for further guidance on how to complete this section.</v>
      </c>
      <c r="F147" s="1323"/>
      <c r="G147" s="1323"/>
      <c r="H147" s="1323"/>
      <c r="I147" s="1323"/>
      <c r="J147" s="1323"/>
      <c r="K147" s="1323"/>
      <c r="L147" s="1323"/>
      <c r="M147" s="1323"/>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Cement Bubble</v>
      </c>
      <c r="F160" s="175"/>
      <c r="G160" s="175"/>
      <c r="H160" s="175"/>
      <c r="I160" s="175"/>
      <c r="J160" s="176"/>
      <c r="K160" s="155" t="str">
        <f>IF(E160="","",K157)</f>
        <v/>
      </c>
      <c r="L160" s="29"/>
      <c r="O160" s="945"/>
      <c r="P160" s="94"/>
      <c r="Q160" s="93"/>
      <c r="R160" s="102" t="str">
        <f>CONST_PrecursorToGoodInput&amp;G146 &amp;"_"&amp;E160</f>
        <v>PrecToGood__Cement Bubble</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4" t="str">
        <f>IF(G146="","",G146)</f>
        <v/>
      </c>
      <c r="K174" s="1324"/>
      <c r="L174" s="1324"/>
      <c r="M174" s="1324"/>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5"/>
      <c r="F177" s="1325"/>
      <c r="G177" s="1325"/>
      <c r="H177" s="1325"/>
      <c r="I177" s="1325"/>
      <c r="J177" s="1325"/>
      <c r="K177" s="1325"/>
      <c r="L177" s="1325"/>
      <c r="M177" s="1325"/>
      <c r="N177" s="196"/>
      <c r="O177" s="428"/>
      <c r="T177" s="712"/>
    </row>
    <row r="178" spans="1:26" ht="13.2" customHeight="1" x14ac:dyDescent="0.3">
      <c r="B178" s="94"/>
      <c r="C178" s="192"/>
      <c r="D178" s="199"/>
      <c r="E178" s="1308" t="str">
        <f ca="1">HYPERLINK("#"&amp;ADDRESS(MATCH($S178,G_FurtherGuidance!$S:$S,0),3,,,G_FurtherGuidance!$U$2),CONST_LinkToGuidanceSheet)</f>
        <v>Please click on this link for further guidance on how to complete this section.</v>
      </c>
      <c r="F178" s="1309"/>
      <c r="G178" s="1309"/>
      <c r="H178" s="1309"/>
      <c r="I178" s="1309"/>
      <c r="J178" s="1309"/>
      <c r="K178" s="1309"/>
      <c r="L178" s="1309"/>
      <c r="M178" s="1309"/>
      <c r="N178" s="196"/>
      <c r="O178" s="428"/>
      <c r="R178" s="104" t="s">
        <v>2771</v>
      </c>
      <c r="S178" s="105">
        <v>4</v>
      </c>
      <c r="T178" s="712"/>
    </row>
    <row r="179" spans="1:26" ht="4.95" customHeight="1" x14ac:dyDescent="0.3">
      <c r="B179" s="94"/>
      <c r="C179" s="192"/>
      <c r="D179" s="199"/>
      <c r="E179" s="1325"/>
      <c r="F179" s="1325"/>
      <c r="G179" s="1325"/>
      <c r="H179" s="1325"/>
      <c r="I179" s="1325"/>
      <c r="J179" s="1325"/>
      <c r="K179" s="1325"/>
      <c r="L179" s="1325"/>
      <c r="M179" s="1325"/>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6"/>
      <c r="L186" s="1326"/>
      <c r="M186" s="1326"/>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10" t="str">
        <f>IF(INDEX(CNTR_List_ExistPurchPrecNames,MATCH(R190,CNTR_ListPurchPrecID,0))=CONST_NA,"",INDEX(CNTR_List_ExistPurchPrecNames,MATCH(R190,CNTR_ListPurchPrecID,0)))</f>
        <v/>
      </c>
      <c r="H190" s="1311"/>
      <c r="I190" s="1311"/>
      <c r="J190" s="1311"/>
      <c r="K190" s="1312"/>
      <c r="L190" s="1313" t="str">
        <f>IF(INDEX(CNTR_List_ExistPurchPrec,MATCH(R190,CNTR_ListPurchPrecID,0))=CONST_NA,"",INDEX(CNTR_List_ExistPurchPrec,MATCH(R190,CNTR_ListPurchPrecID,0)))</f>
        <v/>
      </c>
      <c r="M190" s="1314"/>
      <c r="N190" s="1315"/>
      <c r="O190" s="428"/>
      <c r="R190" s="149" t="str">
        <f>INDEX(CNTR_ListPurchPrecID,C190)</f>
        <v>PP5</v>
      </c>
      <c r="Y190" s="104" t="s">
        <v>2748</v>
      </c>
      <c r="Z190" s="150" t="b">
        <f>AND(CNTR_HasEntriesA,G190="")</f>
        <v>1</v>
      </c>
    </row>
    <row r="191" spans="1:26" ht="26.4" customHeight="1" x14ac:dyDescent="0.3">
      <c r="B191" s="94"/>
      <c r="C191" s="144"/>
      <c r="D191" s="914"/>
      <c r="E191" s="1322" t="str">
        <f ca="1">HYPERLINK("#"&amp;ADDRESS(MATCH($S191,G_FurtherGuidance!$S:$S,0),3,,,G_FurtherGuidance!$U$2),CONST_LinkToGuidanceSheet)</f>
        <v>Please click on this link for further guidance on how to complete this section.</v>
      </c>
      <c r="F191" s="1323"/>
      <c r="G191" s="1323"/>
      <c r="H191" s="1323"/>
      <c r="I191" s="1323"/>
      <c r="J191" s="1323"/>
      <c r="K191" s="1323"/>
      <c r="L191" s="1323"/>
      <c r="M191" s="1323"/>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Cement Bubble</v>
      </c>
      <c r="F204" s="175"/>
      <c r="G204" s="175"/>
      <c r="H204" s="175"/>
      <c r="I204" s="175"/>
      <c r="J204" s="176"/>
      <c r="K204" s="155" t="str">
        <f>IF(E204="","",K201)</f>
        <v/>
      </c>
      <c r="L204" s="29"/>
      <c r="O204" s="945"/>
      <c r="P204" s="94"/>
      <c r="Q204" s="93"/>
      <c r="R204" s="102" t="str">
        <f>CONST_PrecursorToGoodInput&amp;G190 &amp;"_"&amp;E204</f>
        <v>PrecToGood__Cement Bubble</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5"/>
      <c r="F221" s="1325"/>
      <c r="G221" s="1325"/>
      <c r="H221" s="1325"/>
      <c r="I221" s="1325"/>
      <c r="J221" s="1325"/>
      <c r="K221" s="1325"/>
      <c r="L221" s="1325"/>
      <c r="M221" s="1325"/>
      <c r="N221" s="196"/>
      <c r="O221" s="428"/>
      <c r="T221" s="712"/>
    </row>
    <row r="222" spans="1:26" ht="13.2" customHeight="1" x14ac:dyDescent="0.3">
      <c r="B222" s="94"/>
      <c r="C222" s="192"/>
      <c r="D222" s="199"/>
      <c r="E222" s="1308" t="str">
        <f ca="1">HYPERLINK("#"&amp;ADDRESS(MATCH($S222,G_FurtherGuidance!$S:$S,0),3,,,G_FurtherGuidance!$U$2),CONST_LinkToGuidanceSheet)</f>
        <v>Please click on this link for further guidance on how to complete this section.</v>
      </c>
      <c r="F222" s="1309"/>
      <c r="G222" s="1309"/>
      <c r="H222" s="1309"/>
      <c r="I222" s="1309"/>
      <c r="J222" s="1309"/>
      <c r="K222" s="1309"/>
      <c r="L222" s="1309"/>
      <c r="M222" s="1309"/>
      <c r="N222" s="196"/>
      <c r="O222" s="428"/>
      <c r="R222" s="104" t="s">
        <v>2771</v>
      </c>
      <c r="S222" s="105">
        <v>4</v>
      </c>
      <c r="T222" s="712"/>
    </row>
    <row r="223" spans="1:26" ht="4.95" customHeight="1" x14ac:dyDescent="0.3">
      <c r="B223" s="94"/>
      <c r="C223" s="192"/>
      <c r="D223" s="199"/>
      <c r="E223" s="1325"/>
      <c r="F223" s="1325"/>
      <c r="G223" s="1325"/>
      <c r="H223" s="1325"/>
      <c r="I223" s="1325"/>
      <c r="J223" s="1325"/>
      <c r="K223" s="1325"/>
      <c r="L223" s="1325"/>
      <c r="M223" s="1325"/>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6"/>
      <c r="L230" s="1326"/>
      <c r="M230" s="1326"/>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10" t="str">
        <f>IF(INDEX(CNTR_List_ExistPurchPrecNames,MATCH(R234,CNTR_ListPurchPrecID,0))=CONST_NA,"",INDEX(CNTR_List_ExistPurchPrecNames,MATCH(R234,CNTR_ListPurchPrecID,0)))</f>
        <v/>
      </c>
      <c r="H234" s="1311"/>
      <c r="I234" s="1311"/>
      <c r="J234" s="1311"/>
      <c r="K234" s="1312"/>
      <c r="L234" s="1313" t="str">
        <f>IF(INDEX(CNTR_List_ExistPurchPrec,MATCH(R234,CNTR_ListPurchPrecID,0))=CONST_NA,"",INDEX(CNTR_List_ExistPurchPrec,MATCH(R234,CNTR_ListPurchPrecID,0)))</f>
        <v/>
      </c>
      <c r="M234" s="1314"/>
      <c r="N234" s="1315"/>
      <c r="O234" s="428"/>
      <c r="R234" s="149" t="str">
        <f>INDEX(CNTR_ListPurchPrecID,C234)</f>
        <v>PP6</v>
      </c>
      <c r="Y234" s="104" t="s">
        <v>2748</v>
      </c>
      <c r="Z234" s="150" t="b">
        <f>AND(CNTR_HasEntriesA,G234="")</f>
        <v>1</v>
      </c>
    </row>
    <row r="235" spans="1:26" ht="26.4" customHeight="1" x14ac:dyDescent="0.3">
      <c r="B235" s="94"/>
      <c r="C235" s="144"/>
      <c r="D235" s="914"/>
      <c r="E235" s="1322" t="str">
        <f ca="1">HYPERLINK("#"&amp;ADDRESS(MATCH($S235,G_FurtherGuidance!$S:$S,0),3,,,G_FurtherGuidance!$U$2),CONST_LinkToGuidanceSheet)</f>
        <v>Please click on this link for further guidance on how to complete this section.</v>
      </c>
      <c r="F235" s="1323"/>
      <c r="G235" s="1323"/>
      <c r="H235" s="1323"/>
      <c r="I235" s="1323"/>
      <c r="J235" s="1323"/>
      <c r="K235" s="1323"/>
      <c r="L235" s="1323"/>
      <c r="M235" s="1323"/>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Cement Bubble</v>
      </c>
      <c r="F248" s="175"/>
      <c r="G248" s="175"/>
      <c r="H248" s="175"/>
      <c r="I248" s="175"/>
      <c r="J248" s="176"/>
      <c r="K248" s="155" t="str">
        <f>IF(E248="","",K245)</f>
        <v/>
      </c>
      <c r="L248" s="29"/>
      <c r="O248" s="945"/>
      <c r="P248" s="94"/>
      <c r="Q248" s="93"/>
      <c r="R248" s="102" t="str">
        <f>CONST_PrecursorToGoodInput&amp;G234 &amp;"_"&amp;E248</f>
        <v>PrecToGood__Cement Bubble</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5"/>
      <c r="F265" s="1325"/>
      <c r="G265" s="1325"/>
      <c r="H265" s="1325"/>
      <c r="I265" s="1325"/>
      <c r="J265" s="1325"/>
      <c r="K265" s="1325"/>
      <c r="L265" s="1325"/>
      <c r="M265" s="1325"/>
      <c r="N265" s="196"/>
      <c r="O265" s="428"/>
      <c r="T265" s="712"/>
    </row>
    <row r="266" spans="1:26" ht="13.2" customHeight="1" x14ac:dyDescent="0.3">
      <c r="B266" s="94"/>
      <c r="C266" s="192"/>
      <c r="D266" s="199"/>
      <c r="E266" s="1308" t="str">
        <f ca="1">HYPERLINK("#"&amp;ADDRESS(MATCH($S266,G_FurtherGuidance!$S:$S,0),3,,,G_FurtherGuidance!$U$2),CONST_LinkToGuidanceSheet)</f>
        <v>Please click on this link for further guidance on how to complete this section.</v>
      </c>
      <c r="F266" s="1309"/>
      <c r="G266" s="1309"/>
      <c r="H266" s="1309"/>
      <c r="I266" s="1309"/>
      <c r="J266" s="1309"/>
      <c r="K266" s="1309"/>
      <c r="L266" s="1309"/>
      <c r="M266" s="1309"/>
      <c r="N266" s="196"/>
      <c r="O266" s="428"/>
      <c r="R266" s="104" t="s">
        <v>2771</v>
      </c>
      <c r="S266" s="105">
        <v>4</v>
      </c>
      <c r="T266" s="712"/>
    </row>
    <row r="267" spans="1:26" ht="4.95" customHeight="1" x14ac:dyDescent="0.3">
      <c r="B267" s="94"/>
      <c r="C267" s="192"/>
      <c r="D267" s="199"/>
      <c r="E267" s="1325"/>
      <c r="F267" s="1325"/>
      <c r="G267" s="1325"/>
      <c r="H267" s="1325"/>
      <c r="I267" s="1325"/>
      <c r="J267" s="1325"/>
      <c r="K267" s="1325"/>
      <c r="L267" s="1325"/>
      <c r="M267" s="1325"/>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6"/>
      <c r="L274" s="1326"/>
      <c r="M274" s="1326"/>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10" t="str">
        <f>IF(INDEX(CNTR_List_ExistPurchPrecNames,MATCH(R278,CNTR_ListPurchPrecID,0))=CONST_NA,"",INDEX(CNTR_List_ExistPurchPrecNames,MATCH(R278,CNTR_ListPurchPrecID,0)))</f>
        <v/>
      </c>
      <c r="H278" s="1311"/>
      <c r="I278" s="1311"/>
      <c r="J278" s="1311"/>
      <c r="K278" s="1312"/>
      <c r="L278" s="1313" t="str">
        <f>IF(INDEX(CNTR_List_ExistPurchPrec,MATCH(R278,CNTR_ListPurchPrecID,0))=CONST_NA,"",INDEX(CNTR_List_ExistPurchPrec,MATCH(R278,CNTR_ListPurchPrecID,0)))</f>
        <v/>
      </c>
      <c r="M278" s="1314"/>
      <c r="N278" s="1315"/>
      <c r="O278" s="428"/>
      <c r="R278" s="149" t="str">
        <f>INDEX(CNTR_ListPurchPrecID,C278)</f>
        <v>PP7</v>
      </c>
      <c r="Y278" s="104" t="s">
        <v>2748</v>
      </c>
      <c r="Z278" s="150" t="b">
        <f>AND(CNTR_HasEntriesA,G278="")</f>
        <v>1</v>
      </c>
    </row>
    <row r="279" spans="1:26" ht="26.4" customHeight="1" x14ac:dyDescent="0.3">
      <c r="B279" s="94"/>
      <c r="C279" s="144"/>
      <c r="D279" s="914"/>
      <c r="E279" s="1322" t="str">
        <f ca="1">HYPERLINK("#"&amp;ADDRESS(MATCH($S279,G_FurtherGuidance!$S:$S,0),3,,,G_FurtherGuidance!$U$2),CONST_LinkToGuidanceSheet)</f>
        <v>Please click on this link for further guidance on how to complete this section.</v>
      </c>
      <c r="F279" s="1323"/>
      <c r="G279" s="1323"/>
      <c r="H279" s="1323"/>
      <c r="I279" s="1323"/>
      <c r="J279" s="1323"/>
      <c r="K279" s="1323"/>
      <c r="L279" s="1323"/>
      <c r="M279" s="1323"/>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Cement Bubble</v>
      </c>
      <c r="F292" s="175"/>
      <c r="G292" s="175"/>
      <c r="H292" s="175"/>
      <c r="I292" s="175"/>
      <c r="J292" s="176"/>
      <c r="K292" s="155" t="str">
        <f>IF(E292="","",K289)</f>
        <v/>
      </c>
      <c r="L292" s="29"/>
      <c r="O292" s="945"/>
      <c r="P292" s="94"/>
      <c r="Q292" s="93"/>
      <c r="R292" s="102" t="str">
        <f>CONST_PrecursorToGoodInput&amp;G278 &amp;"_"&amp;E292</f>
        <v>PrecToGood__Cement Bubble</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5"/>
      <c r="F309" s="1325"/>
      <c r="G309" s="1325"/>
      <c r="H309" s="1325"/>
      <c r="I309" s="1325"/>
      <c r="J309" s="1325"/>
      <c r="K309" s="1325"/>
      <c r="L309" s="1325"/>
      <c r="M309" s="1325"/>
      <c r="N309" s="196"/>
      <c r="O309" s="428"/>
      <c r="T309" s="712"/>
    </row>
    <row r="310" spans="1:26" ht="13.2" customHeight="1" x14ac:dyDescent="0.3">
      <c r="B310" s="94"/>
      <c r="C310" s="192"/>
      <c r="D310" s="199"/>
      <c r="E310" s="1308" t="str">
        <f ca="1">HYPERLINK("#"&amp;ADDRESS(MATCH($S310,G_FurtherGuidance!$S:$S,0),3,,,G_FurtherGuidance!$U$2),CONST_LinkToGuidanceSheet)</f>
        <v>Please click on this link for further guidance on how to complete this section.</v>
      </c>
      <c r="F310" s="1309"/>
      <c r="G310" s="1309"/>
      <c r="H310" s="1309"/>
      <c r="I310" s="1309"/>
      <c r="J310" s="1309"/>
      <c r="K310" s="1309"/>
      <c r="L310" s="1309"/>
      <c r="M310" s="1309"/>
      <c r="N310" s="196"/>
      <c r="O310" s="428"/>
      <c r="R310" s="104" t="s">
        <v>2771</v>
      </c>
      <c r="S310" s="105">
        <v>4</v>
      </c>
      <c r="T310" s="712"/>
    </row>
    <row r="311" spans="1:26" ht="4.95" customHeight="1" x14ac:dyDescent="0.3">
      <c r="B311" s="94"/>
      <c r="C311" s="192"/>
      <c r="D311" s="199"/>
      <c r="E311" s="1325"/>
      <c r="F311" s="1325"/>
      <c r="G311" s="1325"/>
      <c r="H311" s="1325"/>
      <c r="I311" s="1325"/>
      <c r="J311" s="1325"/>
      <c r="K311" s="1325"/>
      <c r="L311" s="1325"/>
      <c r="M311" s="1325"/>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6"/>
      <c r="L318" s="1326"/>
      <c r="M318" s="1326"/>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10" t="str">
        <f>IF(INDEX(CNTR_List_ExistPurchPrecNames,MATCH(R322,CNTR_ListPurchPrecID,0))=CONST_NA,"",INDEX(CNTR_List_ExistPurchPrecNames,MATCH(R322,CNTR_ListPurchPrecID,0)))</f>
        <v/>
      </c>
      <c r="H322" s="1311"/>
      <c r="I322" s="1311"/>
      <c r="J322" s="1311"/>
      <c r="K322" s="1312"/>
      <c r="L322" s="1313" t="str">
        <f>IF(INDEX(CNTR_List_ExistPurchPrec,MATCH(R322,CNTR_ListPurchPrecID,0))=CONST_NA,"",INDEX(CNTR_List_ExistPurchPrec,MATCH(R322,CNTR_ListPurchPrecID,0)))</f>
        <v/>
      </c>
      <c r="M322" s="1314"/>
      <c r="N322" s="1315"/>
      <c r="O322" s="428"/>
      <c r="R322" s="149" t="str">
        <f>INDEX(CNTR_ListPurchPrecID,C322)</f>
        <v>PP8</v>
      </c>
      <c r="Y322" s="104" t="s">
        <v>2748</v>
      </c>
      <c r="Z322" s="150" t="b">
        <f>AND(CNTR_HasEntriesA,G322="")</f>
        <v>1</v>
      </c>
    </row>
    <row r="323" spans="1:26" ht="26.4" customHeight="1" x14ac:dyDescent="0.3">
      <c r="B323" s="94"/>
      <c r="C323" s="144"/>
      <c r="D323" s="914"/>
      <c r="E323" s="1322" t="str">
        <f ca="1">HYPERLINK("#"&amp;ADDRESS(MATCH($S323,G_FurtherGuidance!$S:$S,0),3,,,G_FurtherGuidance!$U$2),CONST_LinkToGuidanceSheet)</f>
        <v>Please click on this link for further guidance on how to complete this section.</v>
      </c>
      <c r="F323" s="1323"/>
      <c r="G323" s="1323"/>
      <c r="H323" s="1323"/>
      <c r="I323" s="1323"/>
      <c r="J323" s="1323"/>
      <c r="K323" s="1323"/>
      <c r="L323" s="1323"/>
      <c r="M323" s="1323"/>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Cement Bubble</v>
      </c>
      <c r="F336" s="175"/>
      <c r="G336" s="175"/>
      <c r="H336" s="175"/>
      <c r="I336" s="175"/>
      <c r="J336" s="176"/>
      <c r="K336" s="155" t="str">
        <f>IF(E336="","",K333)</f>
        <v/>
      </c>
      <c r="L336" s="29"/>
      <c r="O336" s="945"/>
      <c r="P336" s="94"/>
      <c r="Q336" s="93"/>
      <c r="R336" s="102" t="str">
        <f>CONST_PrecursorToGoodInput&amp;G322 &amp;"_"&amp;E336</f>
        <v>PrecToGood__Cement Bubble</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5"/>
      <c r="F353" s="1325"/>
      <c r="G353" s="1325"/>
      <c r="H353" s="1325"/>
      <c r="I353" s="1325"/>
      <c r="J353" s="1325"/>
      <c r="K353" s="1325"/>
      <c r="L353" s="1325"/>
      <c r="M353" s="1325"/>
      <c r="N353" s="196"/>
      <c r="O353" s="428"/>
      <c r="T353" s="712"/>
    </row>
    <row r="354" spans="1:26" ht="13.2" customHeight="1" x14ac:dyDescent="0.3">
      <c r="B354" s="94"/>
      <c r="C354" s="192"/>
      <c r="D354" s="199"/>
      <c r="E354" s="1308" t="str">
        <f ca="1">HYPERLINK("#"&amp;ADDRESS(MATCH($S354,G_FurtherGuidance!$S:$S,0),3,,,G_FurtherGuidance!$U$2),CONST_LinkToGuidanceSheet)</f>
        <v>Please click on this link for further guidance on how to complete this section.</v>
      </c>
      <c r="F354" s="1309"/>
      <c r="G354" s="1309"/>
      <c r="H354" s="1309"/>
      <c r="I354" s="1309"/>
      <c r="J354" s="1309"/>
      <c r="K354" s="1309"/>
      <c r="L354" s="1309"/>
      <c r="M354" s="1309"/>
      <c r="N354" s="196"/>
      <c r="O354" s="428"/>
      <c r="R354" s="104" t="s">
        <v>2771</v>
      </c>
      <c r="S354" s="105">
        <v>4</v>
      </c>
      <c r="T354" s="712"/>
    </row>
    <row r="355" spans="1:26" ht="4.95" customHeight="1" x14ac:dyDescent="0.3">
      <c r="B355" s="94"/>
      <c r="C355" s="192"/>
      <c r="D355" s="199"/>
      <c r="E355" s="1325"/>
      <c r="F355" s="1325"/>
      <c r="G355" s="1325"/>
      <c r="H355" s="1325"/>
      <c r="I355" s="1325"/>
      <c r="J355" s="1325"/>
      <c r="K355" s="1325"/>
      <c r="L355" s="1325"/>
      <c r="M355" s="1325"/>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6"/>
      <c r="L362" s="1326"/>
      <c r="M362" s="1326"/>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10" t="str">
        <f>IF(INDEX(CNTR_List_ExistPurchPrecNames,MATCH(R366,CNTR_ListPurchPrecID,0))=CONST_NA,"",INDEX(CNTR_List_ExistPurchPrecNames,MATCH(R366,CNTR_ListPurchPrecID,0)))</f>
        <v/>
      </c>
      <c r="H366" s="1311"/>
      <c r="I366" s="1311"/>
      <c r="J366" s="1311"/>
      <c r="K366" s="1312"/>
      <c r="L366" s="1313" t="str">
        <f>IF(INDEX(CNTR_List_ExistPurchPrec,MATCH(R366,CNTR_ListPurchPrecID,0))=CONST_NA,"",INDEX(CNTR_List_ExistPurchPrec,MATCH(R366,CNTR_ListPurchPrecID,0)))</f>
        <v/>
      </c>
      <c r="M366" s="1314"/>
      <c r="N366" s="1315"/>
      <c r="O366" s="428"/>
      <c r="R366" s="149" t="str">
        <f>INDEX(CNTR_ListPurchPrecID,C366)</f>
        <v>PP9</v>
      </c>
      <c r="Y366" s="104" t="s">
        <v>2748</v>
      </c>
      <c r="Z366" s="150" t="b">
        <f>AND(CNTR_HasEntriesA,G366="")</f>
        <v>1</v>
      </c>
    </row>
    <row r="367" spans="1:26" ht="26.4" customHeight="1" x14ac:dyDescent="0.3">
      <c r="B367" s="94"/>
      <c r="C367" s="144"/>
      <c r="D367" s="914"/>
      <c r="E367" s="1322" t="str">
        <f ca="1">HYPERLINK("#"&amp;ADDRESS(MATCH($S367,G_FurtherGuidance!$S:$S,0),3,,,G_FurtherGuidance!$U$2),CONST_LinkToGuidanceSheet)</f>
        <v>Please click on this link for further guidance on how to complete this section.</v>
      </c>
      <c r="F367" s="1323"/>
      <c r="G367" s="1323"/>
      <c r="H367" s="1323"/>
      <c r="I367" s="1323"/>
      <c r="J367" s="1323"/>
      <c r="K367" s="1323"/>
      <c r="L367" s="1323"/>
      <c r="M367" s="1323"/>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Cement Bubble</v>
      </c>
      <c r="F380" s="175"/>
      <c r="G380" s="175"/>
      <c r="H380" s="175"/>
      <c r="I380" s="175"/>
      <c r="J380" s="176"/>
      <c r="K380" s="155" t="str">
        <f>IF(E380="","",K377)</f>
        <v/>
      </c>
      <c r="L380" s="29"/>
      <c r="O380" s="945"/>
      <c r="P380" s="94"/>
      <c r="Q380" s="93"/>
      <c r="R380" s="102" t="str">
        <f>CONST_PrecursorToGoodInput&amp;G366 &amp;"_"&amp;E380</f>
        <v>PrecToGood__Cement Bubble</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5"/>
      <c r="F397" s="1325"/>
      <c r="G397" s="1325"/>
      <c r="H397" s="1325"/>
      <c r="I397" s="1325"/>
      <c r="J397" s="1325"/>
      <c r="K397" s="1325"/>
      <c r="L397" s="1325"/>
      <c r="M397" s="1325"/>
      <c r="N397" s="196"/>
      <c r="O397" s="428"/>
      <c r="T397" s="712"/>
    </row>
    <row r="398" spans="1:26" ht="13.2" customHeight="1" x14ac:dyDescent="0.3">
      <c r="B398" s="94"/>
      <c r="C398" s="192"/>
      <c r="D398" s="199"/>
      <c r="E398" s="1308" t="str">
        <f ca="1">HYPERLINK("#"&amp;ADDRESS(MATCH($S398,G_FurtherGuidance!$S:$S,0),3,,,G_FurtherGuidance!$U$2),CONST_LinkToGuidanceSheet)</f>
        <v>Please click on this link for further guidance on how to complete this section.</v>
      </c>
      <c r="F398" s="1309"/>
      <c r="G398" s="1309"/>
      <c r="H398" s="1309"/>
      <c r="I398" s="1309"/>
      <c r="J398" s="1309"/>
      <c r="K398" s="1309"/>
      <c r="L398" s="1309"/>
      <c r="M398" s="1309"/>
      <c r="N398" s="196"/>
      <c r="O398" s="428"/>
      <c r="R398" s="104" t="s">
        <v>2771</v>
      </c>
      <c r="S398" s="105">
        <v>4</v>
      </c>
      <c r="T398" s="712"/>
    </row>
    <row r="399" spans="1:26" ht="4.95" customHeight="1" x14ac:dyDescent="0.3">
      <c r="B399" s="94"/>
      <c r="C399" s="192"/>
      <c r="D399" s="199"/>
      <c r="E399" s="1325"/>
      <c r="F399" s="1325"/>
      <c r="G399" s="1325"/>
      <c r="H399" s="1325"/>
      <c r="I399" s="1325"/>
      <c r="J399" s="1325"/>
      <c r="K399" s="1325"/>
      <c r="L399" s="1325"/>
      <c r="M399" s="1325"/>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6"/>
      <c r="L406" s="1326"/>
      <c r="M406" s="1326"/>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10" t="str">
        <f>IF(INDEX(CNTR_List_ExistPurchPrecNames,MATCH(R410,CNTR_ListPurchPrecID,0))=CONST_NA,"",INDEX(CNTR_List_ExistPurchPrecNames,MATCH(R410,CNTR_ListPurchPrecID,0)))</f>
        <v/>
      </c>
      <c r="H410" s="1311"/>
      <c r="I410" s="1311"/>
      <c r="J410" s="1311"/>
      <c r="K410" s="1312"/>
      <c r="L410" s="1313" t="str">
        <f>IF(INDEX(CNTR_List_ExistPurchPrec,MATCH(R410,CNTR_ListPurchPrecID,0))=CONST_NA,"",INDEX(CNTR_List_ExistPurchPrec,MATCH(R410,CNTR_ListPurchPrecID,0)))</f>
        <v/>
      </c>
      <c r="M410" s="1314"/>
      <c r="N410" s="1315"/>
      <c r="O410" s="428"/>
      <c r="R410" s="149" t="str">
        <f>INDEX(CNTR_ListPurchPrecID,C410)</f>
        <v>PP10</v>
      </c>
      <c r="Y410" s="104" t="s">
        <v>2748</v>
      </c>
      <c r="Z410" s="150" t="b">
        <f>AND(CNTR_HasEntriesA,G410="")</f>
        <v>1</v>
      </c>
    </row>
    <row r="411" spans="1:26" ht="26.4" customHeight="1" x14ac:dyDescent="0.3">
      <c r="B411" s="94"/>
      <c r="C411" s="144"/>
      <c r="D411" s="914"/>
      <c r="E411" s="1322" t="str">
        <f ca="1">HYPERLINK("#"&amp;ADDRESS(MATCH($S411,G_FurtherGuidance!$S:$S,0),3,,,G_FurtherGuidance!$U$2),CONST_LinkToGuidanceSheet)</f>
        <v>Please click on this link for further guidance on how to complete this section.</v>
      </c>
      <c r="F411" s="1323"/>
      <c r="G411" s="1323"/>
      <c r="H411" s="1323"/>
      <c r="I411" s="1323"/>
      <c r="J411" s="1323"/>
      <c r="K411" s="1323"/>
      <c r="L411" s="1323"/>
      <c r="M411" s="1323"/>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Cement Bubble</v>
      </c>
      <c r="F424" s="175"/>
      <c r="G424" s="175"/>
      <c r="H424" s="175"/>
      <c r="I424" s="175"/>
      <c r="J424" s="176"/>
      <c r="K424" s="155" t="str">
        <f>IF(E424="","",K421)</f>
        <v/>
      </c>
      <c r="L424" s="29"/>
      <c r="O424" s="945"/>
      <c r="P424" s="94"/>
      <c r="Q424" s="93"/>
      <c r="R424" s="102" t="str">
        <f>CONST_PrecursorToGoodInput&amp;G410 &amp;"_"&amp;E424</f>
        <v>PrecToGood__Cement Bubble</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5"/>
      <c r="F441" s="1325"/>
      <c r="G441" s="1325"/>
      <c r="H441" s="1325"/>
      <c r="I441" s="1325"/>
      <c r="J441" s="1325"/>
      <c r="K441" s="1325"/>
      <c r="L441" s="1325"/>
      <c r="M441" s="1325"/>
      <c r="N441" s="196"/>
      <c r="O441" s="428"/>
      <c r="T441" s="712"/>
    </row>
    <row r="442" spans="1:26" ht="13.2" customHeight="1" x14ac:dyDescent="0.3">
      <c r="B442" s="94"/>
      <c r="C442" s="192"/>
      <c r="D442" s="199"/>
      <c r="E442" s="1308" t="str">
        <f ca="1">HYPERLINK("#"&amp;ADDRESS(MATCH($S442,G_FurtherGuidance!$S:$S,0),3,,,G_FurtherGuidance!$U$2),CONST_LinkToGuidanceSheet)</f>
        <v>Please click on this link for further guidance on how to complete this section.</v>
      </c>
      <c r="F442" s="1309"/>
      <c r="G442" s="1309"/>
      <c r="H442" s="1309"/>
      <c r="I442" s="1309"/>
      <c r="J442" s="1309"/>
      <c r="K442" s="1309"/>
      <c r="L442" s="1309"/>
      <c r="M442" s="1309"/>
      <c r="N442" s="196"/>
      <c r="O442" s="428"/>
      <c r="R442" s="104" t="s">
        <v>2771</v>
      </c>
      <c r="S442" s="105">
        <v>4</v>
      </c>
      <c r="T442" s="712"/>
    </row>
    <row r="443" spans="1:26" ht="4.95" customHeight="1" x14ac:dyDescent="0.3">
      <c r="B443" s="94"/>
      <c r="C443" s="192"/>
      <c r="D443" s="199"/>
      <c r="E443" s="1325"/>
      <c r="F443" s="1325"/>
      <c r="G443" s="1325"/>
      <c r="H443" s="1325"/>
      <c r="I443" s="1325"/>
      <c r="J443" s="1325"/>
      <c r="K443" s="1325"/>
      <c r="L443" s="1325"/>
      <c r="M443" s="1325"/>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6"/>
      <c r="L450" s="1326"/>
      <c r="M450" s="1326"/>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10" t="str">
        <f>IF(INDEX(CNTR_List_ExistPurchPrecNames,MATCH(R454,CNTR_ListPurchPrecID,0))=CONST_NA,"",INDEX(CNTR_List_ExistPurchPrecNames,MATCH(R454,CNTR_ListPurchPrecID,0)))</f>
        <v/>
      </c>
      <c r="H454" s="1311"/>
      <c r="I454" s="1311"/>
      <c r="J454" s="1311"/>
      <c r="K454" s="1312"/>
      <c r="L454" s="1313" t="str">
        <f>IF(INDEX(CNTR_List_ExistPurchPrec,MATCH(R454,CNTR_ListPurchPrecID,0))=CONST_NA,"",INDEX(CNTR_List_ExistPurchPrec,MATCH(R454,CNTR_ListPurchPrecID,0)))</f>
        <v/>
      </c>
      <c r="M454" s="1314"/>
      <c r="N454" s="1315"/>
      <c r="O454" s="428"/>
      <c r="R454" s="149" t="str">
        <f>INDEX(CNTR_ListPurchPrecID,C454)</f>
        <v>PP11</v>
      </c>
      <c r="Y454" s="104" t="s">
        <v>2748</v>
      </c>
      <c r="Z454" s="150" t="b">
        <f>AND(CNTR_HasEntriesA,G454="")</f>
        <v>1</v>
      </c>
    </row>
    <row r="455" spans="1:26" ht="26.4" customHeight="1" x14ac:dyDescent="0.3">
      <c r="B455" s="94"/>
      <c r="C455" s="144"/>
      <c r="D455" s="914"/>
      <c r="E455" s="1322" t="str">
        <f ca="1">HYPERLINK("#"&amp;ADDRESS(MATCH($S455,G_FurtherGuidance!$S:$S,0),3,,,G_FurtherGuidance!$U$2),CONST_LinkToGuidanceSheet)</f>
        <v>Please click on this link for further guidance on how to complete this section.</v>
      </c>
      <c r="F455" s="1323"/>
      <c r="G455" s="1323"/>
      <c r="H455" s="1323"/>
      <c r="I455" s="1323"/>
      <c r="J455" s="1323"/>
      <c r="K455" s="1323"/>
      <c r="L455" s="1323"/>
      <c r="M455" s="1323"/>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Cement Bubble</v>
      </c>
      <c r="F468" s="175"/>
      <c r="G468" s="175"/>
      <c r="H468" s="175"/>
      <c r="I468" s="175"/>
      <c r="J468" s="176"/>
      <c r="K468" s="155" t="str">
        <f>IF(E468="","",K465)</f>
        <v/>
      </c>
      <c r="L468" s="29"/>
      <c r="O468" s="945"/>
      <c r="P468" s="94"/>
      <c r="Q468" s="93"/>
      <c r="R468" s="102" t="str">
        <f>CONST_PrecursorToGoodInput&amp;G454 &amp;"_"&amp;E468</f>
        <v>PrecToGood__Cement Bubble</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5"/>
      <c r="F485" s="1325"/>
      <c r="G485" s="1325"/>
      <c r="H485" s="1325"/>
      <c r="I485" s="1325"/>
      <c r="J485" s="1325"/>
      <c r="K485" s="1325"/>
      <c r="L485" s="1325"/>
      <c r="M485" s="1325"/>
      <c r="N485" s="196"/>
      <c r="O485" s="428"/>
      <c r="T485" s="712"/>
    </row>
    <row r="486" spans="1:26" ht="13.2" customHeight="1" x14ac:dyDescent="0.3">
      <c r="B486" s="94"/>
      <c r="C486" s="192"/>
      <c r="D486" s="199"/>
      <c r="E486" s="1308" t="str">
        <f ca="1">HYPERLINK("#"&amp;ADDRESS(MATCH($S486,G_FurtherGuidance!$S:$S,0),3,,,G_FurtherGuidance!$U$2),CONST_LinkToGuidanceSheet)</f>
        <v>Please click on this link for further guidance on how to complete this section.</v>
      </c>
      <c r="F486" s="1309"/>
      <c r="G486" s="1309"/>
      <c r="H486" s="1309"/>
      <c r="I486" s="1309"/>
      <c r="J486" s="1309"/>
      <c r="K486" s="1309"/>
      <c r="L486" s="1309"/>
      <c r="M486" s="1309"/>
      <c r="N486" s="196"/>
      <c r="O486" s="428"/>
      <c r="R486" s="104" t="s">
        <v>2771</v>
      </c>
      <c r="S486" s="105">
        <v>4</v>
      </c>
      <c r="T486" s="712"/>
    </row>
    <row r="487" spans="1:26" ht="4.95" customHeight="1" x14ac:dyDescent="0.3">
      <c r="B487" s="94"/>
      <c r="C487" s="192"/>
      <c r="D487" s="199"/>
      <c r="E487" s="1325"/>
      <c r="F487" s="1325"/>
      <c r="G487" s="1325"/>
      <c r="H487" s="1325"/>
      <c r="I487" s="1325"/>
      <c r="J487" s="1325"/>
      <c r="K487" s="1325"/>
      <c r="L487" s="1325"/>
      <c r="M487" s="1325"/>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6"/>
      <c r="L494" s="1326"/>
      <c r="M494" s="1326"/>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10" t="str">
        <f>IF(INDEX(CNTR_List_ExistPurchPrecNames,MATCH(R498,CNTR_ListPurchPrecID,0))=CONST_NA,"",INDEX(CNTR_List_ExistPurchPrecNames,MATCH(R498,CNTR_ListPurchPrecID,0)))</f>
        <v/>
      </c>
      <c r="H498" s="1311"/>
      <c r="I498" s="1311"/>
      <c r="J498" s="1311"/>
      <c r="K498" s="1312"/>
      <c r="L498" s="1313" t="str">
        <f>IF(INDEX(CNTR_List_ExistPurchPrec,MATCH(R498,CNTR_ListPurchPrecID,0))=CONST_NA,"",INDEX(CNTR_List_ExistPurchPrec,MATCH(R498,CNTR_ListPurchPrecID,0)))</f>
        <v/>
      </c>
      <c r="M498" s="1314"/>
      <c r="N498" s="1315"/>
      <c r="O498" s="428"/>
      <c r="R498" s="149" t="str">
        <f>INDEX(CNTR_ListPurchPrecID,C498)</f>
        <v>PP12</v>
      </c>
      <c r="Y498" s="104" t="s">
        <v>2748</v>
      </c>
      <c r="Z498" s="150" t="b">
        <f>AND(CNTR_HasEntriesA,G498="")</f>
        <v>1</v>
      </c>
    </row>
    <row r="499" spans="1:26" ht="26.4" customHeight="1" x14ac:dyDescent="0.3">
      <c r="B499" s="94"/>
      <c r="C499" s="144"/>
      <c r="D499" s="914"/>
      <c r="E499" s="1322" t="str">
        <f ca="1">HYPERLINK("#"&amp;ADDRESS(MATCH($S499,G_FurtherGuidance!$S:$S,0),3,,,G_FurtherGuidance!$U$2),CONST_LinkToGuidanceSheet)</f>
        <v>Please click on this link for further guidance on how to complete this section.</v>
      </c>
      <c r="F499" s="1323"/>
      <c r="G499" s="1323"/>
      <c r="H499" s="1323"/>
      <c r="I499" s="1323"/>
      <c r="J499" s="1323"/>
      <c r="K499" s="1323"/>
      <c r="L499" s="1323"/>
      <c r="M499" s="1323"/>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Cement Bubble</v>
      </c>
      <c r="F512" s="175"/>
      <c r="G512" s="175"/>
      <c r="H512" s="175"/>
      <c r="I512" s="175"/>
      <c r="J512" s="176"/>
      <c r="K512" s="155" t="str">
        <f>IF(E512="","",K509)</f>
        <v/>
      </c>
      <c r="L512" s="29"/>
      <c r="O512" s="945"/>
      <c r="P512" s="94"/>
      <c r="Q512" s="93"/>
      <c r="R512" s="102" t="str">
        <f>CONST_PrecursorToGoodInput&amp;G498 &amp;"_"&amp;E512</f>
        <v>PrecToGood__Cement Bubble</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5"/>
      <c r="F529" s="1325"/>
      <c r="G529" s="1325"/>
      <c r="H529" s="1325"/>
      <c r="I529" s="1325"/>
      <c r="J529" s="1325"/>
      <c r="K529" s="1325"/>
      <c r="L529" s="1325"/>
      <c r="M529" s="1325"/>
      <c r="N529" s="196"/>
      <c r="O529" s="428"/>
      <c r="T529" s="712"/>
    </row>
    <row r="530" spans="1:26" ht="13.2" customHeight="1" x14ac:dyDescent="0.3">
      <c r="B530" s="94"/>
      <c r="C530" s="192"/>
      <c r="D530" s="199"/>
      <c r="E530" s="1308" t="str">
        <f ca="1">HYPERLINK("#"&amp;ADDRESS(MATCH($S530,G_FurtherGuidance!$S:$S,0),3,,,G_FurtherGuidance!$U$2),CONST_LinkToGuidanceSheet)</f>
        <v>Please click on this link for further guidance on how to complete this section.</v>
      </c>
      <c r="F530" s="1309"/>
      <c r="G530" s="1309"/>
      <c r="H530" s="1309"/>
      <c r="I530" s="1309"/>
      <c r="J530" s="1309"/>
      <c r="K530" s="1309"/>
      <c r="L530" s="1309"/>
      <c r="M530" s="1309"/>
      <c r="N530" s="196"/>
      <c r="O530" s="428"/>
      <c r="R530" s="104" t="s">
        <v>2771</v>
      </c>
      <c r="S530" s="105">
        <v>4</v>
      </c>
      <c r="T530" s="712"/>
    </row>
    <row r="531" spans="1:26" ht="4.95" customHeight="1" x14ac:dyDescent="0.3">
      <c r="B531" s="94"/>
      <c r="C531" s="192"/>
      <c r="D531" s="199"/>
      <c r="E531" s="1325"/>
      <c r="F531" s="1325"/>
      <c r="G531" s="1325"/>
      <c r="H531" s="1325"/>
      <c r="I531" s="1325"/>
      <c r="J531" s="1325"/>
      <c r="K531" s="1325"/>
      <c r="L531" s="1325"/>
      <c r="M531" s="1325"/>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6"/>
      <c r="L538" s="1326"/>
      <c r="M538" s="1326"/>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10" t="str">
        <f>IF(INDEX(CNTR_List_ExistPurchPrecNames,MATCH(R542,CNTR_ListPurchPrecID,0))=CONST_NA,"",INDEX(CNTR_List_ExistPurchPrecNames,MATCH(R542,CNTR_ListPurchPrecID,0)))</f>
        <v/>
      </c>
      <c r="H542" s="1311"/>
      <c r="I542" s="1311"/>
      <c r="J542" s="1311"/>
      <c r="K542" s="1312"/>
      <c r="L542" s="1313" t="str">
        <f>IF(INDEX(CNTR_List_ExistPurchPrec,MATCH(R542,CNTR_ListPurchPrecID,0))=CONST_NA,"",INDEX(CNTR_List_ExistPurchPrec,MATCH(R542,CNTR_ListPurchPrecID,0)))</f>
        <v/>
      </c>
      <c r="M542" s="1314"/>
      <c r="N542" s="1315"/>
      <c r="O542" s="428"/>
      <c r="R542" s="149" t="str">
        <f>INDEX(CNTR_ListPurchPrecID,C542)</f>
        <v>PP13</v>
      </c>
      <c r="Y542" s="104" t="s">
        <v>2748</v>
      </c>
      <c r="Z542" s="150" t="b">
        <f>AND(CNTR_HasEntriesA,G542="")</f>
        <v>1</v>
      </c>
    </row>
    <row r="543" spans="1:26" ht="26.4" customHeight="1" x14ac:dyDescent="0.3">
      <c r="B543" s="94"/>
      <c r="C543" s="144"/>
      <c r="D543" s="914"/>
      <c r="E543" s="1322" t="str">
        <f ca="1">HYPERLINK("#"&amp;ADDRESS(MATCH($S543,G_FurtherGuidance!$S:$S,0),3,,,G_FurtherGuidance!$U$2),CONST_LinkToGuidanceSheet)</f>
        <v>Please click on this link for further guidance on how to complete this section.</v>
      </c>
      <c r="F543" s="1323"/>
      <c r="G543" s="1323"/>
      <c r="H543" s="1323"/>
      <c r="I543" s="1323"/>
      <c r="J543" s="1323"/>
      <c r="K543" s="1323"/>
      <c r="L543" s="1323"/>
      <c r="M543" s="1323"/>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Cement Bubble</v>
      </c>
      <c r="F556" s="175"/>
      <c r="G556" s="175"/>
      <c r="H556" s="175"/>
      <c r="I556" s="175"/>
      <c r="J556" s="176"/>
      <c r="K556" s="155" t="str">
        <f>IF(E556="","",K553)</f>
        <v/>
      </c>
      <c r="L556" s="29"/>
      <c r="O556" s="945"/>
      <c r="P556" s="94"/>
      <c r="Q556" s="93"/>
      <c r="R556" s="102" t="str">
        <f>CONST_PrecursorToGoodInput&amp;G542 &amp;"_"&amp;E556</f>
        <v>PrecToGood__Cement Bubble</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5"/>
      <c r="F573" s="1325"/>
      <c r="G573" s="1325"/>
      <c r="H573" s="1325"/>
      <c r="I573" s="1325"/>
      <c r="J573" s="1325"/>
      <c r="K573" s="1325"/>
      <c r="L573" s="1325"/>
      <c r="M573" s="1325"/>
      <c r="N573" s="196"/>
      <c r="O573" s="428"/>
      <c r="T573" s="712"/>
    </row>
    <row r="574" spans="1:26" ht="13.2" customHeight="1" x14ac:dyDescent="0.3">
      <c r="B574" s="94"/>
      <c r="C574" s="192"/>
      <c r="D574" s="199"/>
      <c r="E574" s="1308" t="str">
        <f ca="1">HYPERLINK("#"&amp;ADDRESS(MATCH($S574,G_FurtherGuidance!$S:$S,0),3,,,G_FurtherGuidance!$U$2),CONST_LinkToGuidanceSheet)</f>
        <v>Please click on this link for further guidance on how to complete this section.</v>
      </c>
      <c r="F574" s="1309"/>
      <c r="G574" s="1309"/>
      <c r="H574" s="1309"/>
      <c r="I574" s="1309"/>
      <c r="J574" s="1309"/>
      <c r="K574" s="1309"/>
      <c r="L574" s="1309"/>
      <c r="M574" s="1309"/>
      <c r="N574" s="196"/>
      <c r="O574" s="428"/>
      <c r="R574" s="104" t="s">
        <v>2771</v>
      </c>
      <c r="S574" s="105">
        <v>4</v>
      </c>
      <c r="T574" s="712"/>
    </row>
    <row r="575" spans="1:26" ht="4.95" customHeight="1" x14ac:dyDescent="0.3">
      <c r="B575" s="94"/>
      <c r="C575" s="192"/>
      <c r="D575" s="199"/>
      <c r="E575" s="1325"/>
      <c r="F575" s="1325"/>
      <c r="G575" s="1325"/>
      <c r="H575" s="1325"/>
      <c r="I575" s="1325"/>
      <c r="J575" s="1325"/>
      <c r="K575" s="1325"/>
      <c r="L575" s="1325"/>
      <c r="M575" s="1325"/>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6"/>
      <c r="L582" s="1326"/>
      <c r="M582" s="1326"/>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10" t="str">
        <f>IF(INDEX(CNTR_List_ExistPurchPrecNames,MATCH(R586,CNTR_ListPurchPrecID,0))=CONST_NA,"",INDEX(CNTR_List_ExistPurchPrecNames,MATCH(R586,CNTR_ListPurchPrecID,0)))</f>
        <v/>
      </c>
      <c r="H586" s="1311"/>
      <c r="I586" s="1311"/>
      <c r="J586" s="1311"/>
      <c r="K586" s="1312"/>
      <c r="L586" s="1313" t="str">
        <f>IF(INDEX(CNTR_List_ExistPurchPrec,MATCH(R586,CNTR_ListPurchPrecID,0))=CONST_NA,"",INDEX(CNTR_List_ExistPurchPrec,MATCH(R586,CNTR_ListPurchPrecID,0)))</f>
        <v/>
      </c>
      <c r="M586" s="1314"/>
      <c r="N586" s="1315"/>
      <c r="O586" s="428"/>
      <c r="R586" s="149" t="str">
        <f>INDEX(CNTR_ListPurchPrecID,C586)</f>
        <v>PP14</v>
      </c>
      <c r="Y586" s="104" t="s">
        <v>2748</v>
      </c>
      <c r="Z586" s="150" t="b">
        <f>AND(CNTR_HasEntriesA,G586="")</f>
        <v>1</v>
      </c>
    </row>
    <row r="587" spans="1:26" ht="26.4" customHeight="1" x14ac:dyDescent="0.3">
      <c r="B587" s="94"/>
      <c r="C587" s="144"/>
      <c r="D587" s="914"/>
      <c r="E587" s="1322" t="str">
        <f ca="1">HYPERLINK("#"&amp;ADDRESS(MATCH($S587,G_FurtherGuidance!$S:$S,0),3,,,G_FurtherGuidance!$U$2),CONST_LinkToGuidanceSheet)</f>
        <v>Please click on this link for further guidance on how to complete this section.</v>
      </c>
      <c r="F587" s="1323"/>
      <c r="G587" s="1323"/>
      <c r="H587" s="1323"/>
      <c r="I587" s="1323"/>
      <c r="J587" s="1323"/>
      <c r="K587" s="1323"/>
      <c r="L587" s="1323"/>
      <c r="M587" s="1323"/>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Cement Bubble</v>
      </c>
      <c r="F600" s="175"/>
      <c r="G600" s="175"/>
      <c r="H600" s="175"/>
      <c r="I600" s="175"/>
      <c r="J600" s="176"/>
      <c r="K600" s="155" t="str">
        <f>IF(E600="","",K597)</f>
        <v/>
      </c>
      <c r="L600" s="29"/>
      <c r="O600" s="945"/>
      <c r="P600" s="94"/>
      <c r="Q600" s="93"/>
      <c r="R600" s="102" t="str">
        <f>CONST_PrecursorToGoodInput&amp;G586 &amp;"_"&amp;E600</f>
        <v>PrecToGood__Cement Bubble</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5"/>
      <c r="F617" s="1325"/>
      <c r="G617" s="1325"/>
      <c r="H617" s="1325"/>
      <c r="I617" s="1325"/>
      <c r="J617" s="1325"/>
      <c r="K617" s="1325"/>
      <c r="L617" s="1325"/>
      <c r="M617" s="1325"/>
      <c r="N617" s="196"/>
      <c r="O617" s="428"/>
      <c r="T617" s="712"/>
    </row>
    <row r="618" spans="1:26" ht="13.2" customHeight="1" x14ac:dyDescent="0.3">
      <c r="B618" s="94"/>
      <c r="C618" s="192"/>
      <c r="D618" s="199"/>
      <c r="E618" s="1308" t="str">
        <f ca="1">HYPERLINK("#"&amp;ADDRESS(MATCH($S618,G_FurtherGuidance!$S:$S,0),3,,,G_FurtherGuidance!$U$2),CONST_LinkToGuidanceSheet)</f>
        <v>Please click on this link for further guidance on how to complete this section.</v>
      </c>
      <c r="F618" s="1309"/>
      <c r="G618" s="1309"/>
      <c r="H618" s="1309"/>
      <c r="I618" s="1309"/>
      <c r="J618" s="1309"/>
      <c r="K618" s="1309"/>
      <c r="L618" s="1309"/>
      <c r="M618" s="1309"/>
      <c r="N618" s="196"/>
      <c r="O618" s="428"/>
      <c r="R618" s="104" t="s">
        <v>2771</v>
      </c>
      <c r="S618" s="105">
        <v>4</v>
      </c>
      <c r="T618" s="712"/>
    </row>
    <row r="619" spans="1:26" ht="4.95" customHeight="1" x14ac:dyDescent="0.3">
      <c r="B619" s="94"/>
      <c r="C619" s="192"/>
      <c r="D619" s="199"/>
      <c r="E619" s="1325"/>
      <c r="F619" s="1325"/>
      <c r="G619" s="1325"/>
      <c r="H619" s="1325"/>
      <c r="I619" s="1325"/>
      <c r="J619" s="1325"/>
      <c r="K619" s="1325"/>
      <c r="L619" s="1325"/>
      <c r="M619" s="1325"/>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6"/>
      <c r="L626" s="1326"/>
      <c r="M626" s="1326"/>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10" t="str">
        <f>IF(INDEX(CNTR_List_ExistPurchPrecNames,MATCH(R630,CNTR_ListPurchPrecID,0))=CONST_NA,"",INDEX(CNTR_List_ExistPurchPrecNames,MATCH(R630,CNTR_ListPurchPrecID,0)))</f>
        <v/>
      </c>
      <c r="H630" s="1311"/>
      <c r="I630" s="1311"/>
      <c r="J630" s="1311"/>
      <c r="K630" s="1312"/>
      <c r="L630" s="1313" t="str">
        <f>IF(INDEX(CNTR_List_ExistPurchPrec,MATCH(R630,CNTR_ListPurchPrecID,0))=CONST_NA,"",INDEX(CNTR_List_ExistPurchPrec,MATCH(R630,CNTR_ListPurchPrecID,0)))</f>
        <v/>
      </c>
      <c r="M630" s="1314"/>
      <c r="N630" s="1315"/>
      <c r="O630" s="428"/>
      <c r="R630" s="149" t="str">
        <f>INDEX(CNTR_ListPurchPrecID,C630)</f>
        <v>PP15</v>
      </c>
      <c r="Y630" s="104" t="s">
        <v>2748</v>
      </c>
      <c r="Z630" s="150" t="b">
        <f>AND(CNTR_HasEntriesA,G630="")</f>
        <v>1</v>
      </c>
    </row>
    <row r="631" spans="1:26" ht="26.4" customHeight="1" x14ac:dyDescent="0.3">
      <c r="B631" s="94"/>
      <c r="C631" s="144"/>
      <c r="D631" s="914"/>
      <c r="E631" s="1322" t="str">
        <f ca="1">HYPERLINK("#"&amp;ADDRESS(MATCH($S631,G_FurtherGuidance!$S:$S,0),3,,,G_FurtherGuidance!$U$2),CONST_LinkToGuidanceSheet)</f>
        <v>Please click on this link for further guidance on how to complete this section.</v>
      </c>
      <c r="F631" s="1323"/>
      <c r="G631" s="1323"/>
      <c r="H631" s="1323"/>
      <c r="I631" s="1323"/>
      <c r="J631" s="1323"/>
      <c r="K631" s="1323"/>
      <c r="L631" s="1323"/>
      <c r="M631" s="1323"/>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Cement Bubble</v>
      </c>
      <c r="F644" s="175"/>
      <c r="G644" s="175"/>
      <c r="H644" s="175"/>
      <c r="I644" s="175"/>
      <c r="J644" s="176"/>
      <c r="K644" s="155" t="str">
        <f>IF(E644="","",K641)</f>
        <v/>
      </c>
      <c r="L644" s="29"/>
      <c r="O644" s="945"/>
      <c r="P644" s="94"/>
      <c r="Q644" s="93"/>
      <c r="R644" s="102" t="str">
        <f>CONST_PrecursorToGoodInput&amp;G630 &amp;"_"&amp;E644</f>
        <v>PrecToGood__Cement Bubble</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5"/>
      <c r="F661" s="1325"/>
      <c r="G661" s="1325"/>
      <c r="H661" s="1325"/>
      <c r="I661" s="1325"/>
      <c r="J661" s="1325"/>
      <c r="K661" s="1325"/>
      <c r="L661" s="1325"/>
      <c r="M661" s="1325"/>
      <c r="N661" s="196"/>
      <c r="O661" s="428"/>
      <c r="T661" s="712"/>
    </row>
    <row r="662" spans="1:26" ht="13.2" customHeight="1" x14ac:dyDescent="0.3">
      <c r="B662" s="94"/>
      <c r="C662" s="192"/>
      <c r="D662" s="199"/>
      <c r="E662" s="1308" t="str">
        <f ca="1">HYPERLINK("#"&amp;ADDRESS(MATCH($S662,G_FurtherGuidance!$S:$S,0),3,,,G_FurtherGuidance!$U$2),CONST_LinkToGuidanceSheet)</f>
        <v>Please click on this link for further guidance on how to complete this section.</v>
      </c>
      <c r="F662" s="1309"/>
      <c r="G662" s="1309"/>
      <c r="H662" s="1309"/>
      <c r="I662" s="1309"/>
      <c r="J662" s="1309"/>
      <c r="K662" s="1309"/>
      <c r="L662" s="1309"/>
      <c r="M662" s="1309"/>
      <c r="N662" s="196"/>
      <c r="O662" s="428"/>
      <c r="R662" s="104" t="s">
        <v>2771</v>
      </c>
      <c r="S662" s="105">
        <v>4</v>
      </c>
      <c r="T662" s="712"/>
    </row>
    <row r="663" spans="1:26" ht="4.95" customHeight="1" x14ac:dyDescent="0.3">
      <c r="B663" s="94"/>
      <c r="C663" s="192"/>
      <c r="D663" s="199"/>
      <c r="E663" s="1325"/>
      <c r="F663" s="1325"/>
      <c r="G663" s="1325"/>
      <c r="H663" s="1325"/>
      <c r="I663" s="1325"/>
      <c r="J663" s="1325"/>
      <c r="K663" s="1325"/>
      <c r="L663" s="1325"/>
      <c r="M663" s="1325"/>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6"/>
      <c r="L670" s="1326"/>
      <c r="M670" s="1326"/>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10" t="str">
        <f>IF(INDEX(CNTR_List_ExistPurchPrecNames,MATCH(R674,CNTR_ListPurchPrecID,0))=CONST_NA,"",INDEX(CNTR_List_ExistPurchPrecNames,MATCH(R674,CNTR_ListPurchPrecID,0)))</f>
        <v/>
      </c>
      <c r="H674" s="1311"/>
      <c r="I674" s="1311"/>
      <c r="J674" s="1311"/>
      <c r="K674" s="1312"/>
      <c r="L674" s="1313" t="str">
        <f>IF(INDEX(CNTR_List_ExistPurchPrec,MATCH(R674,CNTR_ListPurchPrecID,0))=CONST_NA,"",INDEX(CNTR_List_ExistPurchPrec,MATCH(R674,CNTR_ListPurchPrecID,0)))</f>
        <v/>
      </c>
      <c r="M674" s="1314"/>
      <c r="N674" s="1315"/>
      <c r="O674" s="428"/>
      <c r="R674" s="149" t="str">
        <f>INDEX(CNTR_ListPurchPrecID,C674)</f>
        <v>PP16</v>
      </c>
      <c r="Y674" s="104" t="s">
        <v>2748</v>
      </c>
      <c r="Z674" s="150" t="b">
        <f>AND(CNTR_HasEntriesA,G674="")</f>
        <v>1</v>
      </c>
    </row>
    <row r="675" spans="1:26" ht="26.4" customHeight="1" x14ac:dyDescent="0.3">
      <c r="B675" s="94"/>
      <c r="C675" s="144"/>
      <c r="D675" s="914"/>
      <c r="E675" s="1322" t="str">
        <f ca="1">HYPERLINK("#"&amp;ADDRESS(MATCH($S675,G_FurtherGuidance!$S:$S,0),3,,,G_FurtherGuidance!$U$2),CONST_LinkToGuidanceSheet)</f>
        <v>Please click on this link for further guidance on how to complete this section.</v>
      </c>
      <c r="F675" s="1323"/>
      <c r="G675" s="1323"/>
      <c r="H675" s="1323"/>
      <c r="I675" s="1323"/>
      <c r="J675" s="1323"/>
      <c r="K675" s="1323"/>
      <c r="L675" s="1323"/>
      <c r="M675" s="1323"/>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Cement Bubble</v>
      </c>
      <c r="F688" s="175"/>
      <c r="G688" s="175"/>
      <c r="H688" s="175"/>
      <c r="I688" s="175"/>
      <c r="J688" s="176"/>
      <c r="K688" s="155" t="str">
        <f>IF(E688="","",K685)</f>
        <v/>
      </c>
      <c r="L688" s="29"/>
      <c r="O688" s="945"/>
      <c r="P688" s="94"/>
      <c r="Q688" s="93"/>
      <c r="R688" s="102" t="str">
        <f>CONST_PrecursorToGoodInput&amp;G674 &amp;"_"&amp;E688</f>
        <v>PrecToGood__Cement Bubble</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5"/>
      <c r="F705" s="1325"/>
      <c r="G705" s="1325"/>
      <c r="H705" s="1325"/>
      <c r="I705" s="1325"/>
      <c r="J705" s="1325"/>
      <c r="K705" s="1325"/>
      <c r="L705" s="1325"/>
      <c r="M705" s="1325"/>
      <c r="N705" s="196"/>
      <c r="O705" s="428"/>
      <c r="T705" s="712"/>
    </row>
    <row r="706" spans="1:26" ht="13.2" customHeight="1" x14ac:dyDescent="0.3">
      <c r="B706" s="94"/>
      <c r="C706" s="192"/>
      <c r="D706" s="199"/>
      <c r="E706" s="1308" t="str">
        <f ca="1">HYPERLINK("#"&amp;ADDRESS(MATCH($S706,G_FurtherGuidance!$S:$S,0),3,,,G_FurtherGuidance!$U$2),CONST_LinkToGuidanceSheet)</f>
        <v>Please click on this link for further guidance on how to complete this section.</v>
      </c>
      <c r="F706" s="1309"/>
      <c r="G706" s="1309"/>
      <c r="H706" s="1309"/>
      <c r="I706" s="1309"/>
      <c r="J706" s="1309"/>
      <c r="K706" s="1309"/>
      <c r="L706" s="1309"/>
      <c r="M706" s="1309"/>
      <c r="N706" s="196"/>
      <c r="O706" s="428"/>
      <c r="R706" s="104" t="s">
        <v>2771</v>
      </c>
      <c r="S706" s="105">
        <v>4</v>
      </c>
      <c r="T706" s="712"/>
    </row>
    <row r="707" spans="1:26" ht="4.95" customHeight="1" x14ac:dyDescent="0.3">
      <c r="B707" s="94"/>
      <c r="C707" s="192"/>
      <c r="D707" s="199"/>
      <c r="E707" s="1325"/>
      <c r="F707" s="1325"/>
      <c r="G707" s="1325"/>
      <c r="H707" s="1325"/>
      <c r="I707" s="1325"/>
      <c r="J707" s="1325"/>
      <c r="K707" s="1325"/>
      <c r="L707" s="1325"/>
      <c r="M707" s="1325"/>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6"/>
      <c r="L714" s="1326"/>
      <c r="M714" s="1326"/>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10" t="str">
        <f>IF(INDEX(CNTR_List_ExistPurchPrecNames,MATCH(R718,CNTR_ListPurchPrecID,0))=CONST_NA,"",INDEX(CNTR_List_ExistPurchPrecNames,MATCH(R718,CNTR_ListPurchPrecID,0)))</f>
        <v/>
      </c>
      <c r="H718" s="1311"/>
      <c r="I718" s="1311"/>
      <c r="J718" s="1311"/>
      <c r="K718" s="1312"/>
      <c r="L718" s="1313" t="str">
        <f>IF(INDEX(CNTR_List_ExistPurchPrec,MATCH(R718,CNTR_ListPurchPrecID,0))=CONST_NA,"",INDEX(CNTR_List_ExistPurchPrec,MATCH(R718,CNTR_ListPurchPrecID,0)))</f>
        <v/>
      </c>
      <c r="M718" s="1314"/>
      <c r="N718" s="1315"/>
      <c r="O718" s="428"/>
      <c r="R718" s="149" t="str">
        <f>INDEX(CNTR_ListPurchPrecID,C718)</f>
        <v>PP17</v>
      </c>
      <c r="Y718" s="104" t="s">
        <v>2748</v>
      </c>
      <c r="Z718" s="150" t="b">
        <f>AND(CNTR_HasEntriesA,G718="")</f>
        <v>1</v>
      </c>
    </row>
    <row r="719" spans="1:26" ht="26.4" customHeight="1" x14ac:dyDescent="0.3">
      <c r="B719" s="94"/>
      <c r="C719" s="144"/>
      <c r="D719" s="914"/>
      <c r="E719" s="1322" t="str">
        <f ca="1">HYPERLINK("#"&amp;ADDRESS(MATCH($S719,G_FurtherGuidance!$S:$S,0),3,,,G_FurtherGuidance!$U$2),CONST_LinkToGuidanceSheet)</f>
        <v>Please click on this link for further guidance on how to complete this section.</v>
      </c>
      <c r="F719" s="1323"/>
      <c r="G719" s="1323"/>
      <c r="H719" s="1323"/>
      <c r="I719" s="1323"/>
      <c r="J719" s="1323"/>
      <c r="K719" s="1323"/>
      <c r="L719" s="1323"/>
      <c r="M719" s="1323"/>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Cement Bubble</v>
      </c>
      <c r="F732" s="175"/>
      <c r="G732" s="175"/>
      <c r="H732" s="175"/>
      <c r="I732" s="175"/>
      <c r="J732" s="176"/>
      <c r="K732" s="155" t="str">
        <f>IF(E732="","",K729)</f>
        <v/>
      </c>
      <c r="L732" s="29"/>
      <c r="O732" s="945"/>
      <c r="P732" s="94"/>
      <c r="Q732" s="93"/>
      <c r="R732" s="102" t="str">
        <f>CONST_PrecursorToGoodInput&amp;G718 &amp;"_"&amp;E732</f>
        <v>PrecToGood__Cement Bubble</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5"/>
      <c r="F749" s="1325"/>
      <c r="G749" s="1325"/>
      <c r="H749" s="1325"/>
      <c r="I749" s="1325"/>
      <c r="J749" s="1325"/>
      <c r="K749" s="1325"/>
      <c r="L749" s="1325"/>
      <c r="M749" s="1325"/>
      <c r="N749" s="196"/>
      <c r="O749" s="428"/>
      <c r="T749" s="712"/>
    </row>
    <row r="750" spans="1:26" ht="13.2" customHeight="1" x14ac:dyDescent="0.3">
      <c r="B750" s="94"/>
      <c r="C750" s="192"/>
      <c r="D750" s="199"/>
      <c r="E750" s="1308" t="str">
        <f ca="1">HYPERLINK("#"&amp;ADDRESS(MATCH($S750,G_FurtherGuidance!$S:$S,0),3,,,G_FurtherGuidance!$U$2),CONST_LinkToGuidanceSheet)</f>
        <v>Please click on this link for further guidance on how to complete this section.</v>
      </c>
      <c r="F750" s="1309"/>
      <c r="G750" s="1309"/>
      <c r="H750" s="1309"/>
      <c r="I750" s="1309"/>
      <c r="J750" s="1309"/>
      <c r="K750" s="1309"/>
      <c r="L750" s="1309"/>
      <c r="M750" s="1309"/>
      <c r="N750" s="196"/>
      <c r="O750" s="428"/>
      <c r="R750" s="104" t="s">
        <v>2771</v>
      </c>
      <c r="S750" s="105">
        <v>4</v>
      </c>
      <c r="T750" s="712"/>
    </row>
    <row r="751" spans="1:26" ht="4.95" customHeight="1" x14ac:dyDescent="0.3">
      <c r="B751" s="94"/>
      <c r="C751" s="192"/>
      <c r="D751" s="199"/>
      <c r="E751" s="1325"/>
      <c r="F751" s="1325"/>
      <c r="G751" s="1325"/>
      <c r="H751" s="1325"/>
      <c r="I751" s="1325"/>
      <c r="J751" s="1325"/>
      <c r="K751" s="1325"/>
      <c r="L751" s="1325"/>
      <c r="M751" s="1325"/>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6"/>
      <c r="L758" s="1326"/>
      <c r="M758" s="1326"/>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10" t="str">
        <f>IF(INDEX(CNTR_List_ExistPurchPrecNames,MATCH(R762,CNTR_ListPurchPrecID,0))=CONST_NA,"",INDEX(CNTR_List_ExistPurchPrecNames,MATCH(R762,CNTR_ListPurchPrecID,0)))</f>
        <v/>
      </c>
      <c r="H762" s="1311"/>
      <c r="I762" s="1311"/>
      <c r="J762" s="1311"/>
      <c r="K762" s="1312"/>
      <c r="L762" s="1313" t="str">
        <f>IF(INDEX(CNTR_List_ExistPurchPrec,MATCH(R762,CNTR_ListPurchPrecID,0))=CONST_NA,"",INDEX(CNTR_List_ExistPurchPrec,MATCH(R762,CNTR_ListPurchPrecID,0)))</f>
        <v/>
      </c>
      <c r="M762" s="1314"/>
      <c r="N762" s="1315"/>
      <c r="O762" s="428"/>
      <c r="R762" s="149" t="str">
        <f>INDEX(CNTR_ListPurchPrecID,C762)</f>
        <v>PP18</v>
      </c>
      <c r="Y762" s="104" t="s">
        <v>2748</v>
      </c>
      <c r="Z762" s="150" t="b">
        <f>AND(CNTR_HasEntriesA,G762="")</f>
        <v>1</v>
      </c>
    </row>
    <row r="763" spans="1:26" ht="26.4" customHeight="1" x14ac:dyDescent="0.3">
      <c r="B763" s="94"/>
      <c r="C763" s="144"/>
      <c r="D763" s="914"/>
      <c r="E763" s="1322" t="str">
        <f ca="1">HYPERLINK("#"&amp;ADDRESS(MATCH($S763,G_FurtherGuidance!$S:$S,0),3,,,G_FurtherGuidance!$U$2),CONST_LinkToGuidanceSheet)</f>
        <v>Please click on this link for further guidance on how to complete this section.</v>
      </c>
      <c r="F763" s="1323"/>
      <c r="G763" s="1323"/>
      <c r="H763" s="1323"/>
      <c r="I763" s="1323"/>
      <c r="J763" s="1323"/>
      <c r="K763" s="1323"/>
      <c r="L763" s="1323"/>
      <c r="M763" s="1323"/>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Cement Bubble</v>
      </c>
      <c r="F776" s="175"/>
      <c r="G776" s="175"/>
      <c r="H776" s="175"/>
      <c r="I776" s="175"/>
      <c r="J776" s="176"/>
      <c r="K776" s="155" t="str">
        <f>IF(E776="","",K773)</f>
        <v/>
      </c>
      <c r="L776" s="29"/>
      <c r="O776" s="945"/>
      <c r="P776" s="94"/>
      <c r="Q776" s="93"/>
      <c r="R776" s="102" t="str">
        <f>CONST_PrecursorToGoodInput&amp;G762 &amp;"_"&amp;E776</f>
        <v>PrecToGood__Cement Bubble</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5"/>
      <c r="F793" s="1325"/>
      <c r="G793" s="1325"/>
      <c r="H793" s="1325"/>
      <c r="I793" s="1325"/>
      <c r="J793" s="1325"/>
      <c r="K793" s="1325"/>
      <c r="L793" s="1325"/>
      <c r="M793" s="1325"/>
      <c r="N793" s="196"/>
      <c r="O793" s="428"/>
      <c r="T793" s="712"/>
    </row>
    <row r="794" spans="1:26" ht="13.2" customHeight="1" x14ac:dyDescent="0.3">
      <c r="B794" s="94"/>
      <c r="C794" s="192"/>
      <c r="D794" s="199"/>
      <c r="E794" s="1308" t="str">
        <f ca="1">HYPERLINK("#"&amp;ADDRESS(MATCH($S794,G_FurtherGuidance!$S:$S,0),3,,,G_FurtherGuidance!$U$2),CONST_LinkToGuidanceSheet)</f>
        <v>Please click on this link for further guidance on how to complete this section.</v>
      </c>
      <c r="F794" s="1309"/>
      <c r="G794" s="1309"/>
      <c r="H794" s="1309"/>
      <c r="I794" s="1309"/>
      <c r="J794" s="1309"/>
      <c r="K794" s="1309"/>
      <c r="L794" s="1309"/>
      <c r="M794" s="1309"/>
      <c r="N794" s="196"/>
      <c r="O794" s="428"/>
      <c r="R794" s="104" t="s">
        <v>2771</v>
      </c>
      <c r="S794" s="105">
        <v>4</v>
      </c>
      <c r="T794" s="712"/>
    </row>
    <row r="795" spans="1:26" ht="4.95" customHeight="1" x14ac:dyDescent="0.3">
      <c r="B795" s="94"/>
      <c r="C795" s="192"/>
      <c r="D795" s="199"/>
      <c r="E795" s="1325"/>
      <c r="F795" s="1325"/>
      <c r="G795" s="1325"/>
      <c r="H795" s="1325"/>
      <c r="I795" s="1325"/>
      <c r="J795" s="1325"/>
      <c r="K795" s="1325"/>
      <c r="L795" s="1325"/>
      <c r="M795" s="1325"/>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6"/>
      <c r="L802" s="1326"/>
      <c r="M802" s="1326"/>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10" t="str">
        <f>IF(INDEX(CNTR_List_ExistPurchPrecNames,MATCH(R806,CNTR_ListPurchPrecID,0))=CONST_NA,"",INDEX(CNTR_List_ExistPurchPrecNames,MATCH(R806,CNTR_ListPurchPrecID,0)))</f>
        <v/>
      </c>
      <c r="H806" s="1311"/>
      <c r="I806" s="1311"/>
      <c r="J806" s="1311"/>
      <c r="K806" s="1312"/>
      <c r="L806" s="1313" t="str">
        <f>IF(INDEX(CNTR_List_ExistPurchPrec,MATCH(R806,CNTR_ListPurchPrecID,0))=CONST_NA,"",INDEX(CNTR_List_ExistPurchPrec,MATCH(R806,CNTR_ListPurchPrecID,0)))</f>
        <v/>
      </c>
      <c r="M806" s="1314"/>
      <c r="N806" s="1315"/>
      <c r="O806" s="428"/>
      <c r="R806" s="149" t="str">
        <f>INDEX(CNTR_ListPurchPrecID,C806)</f>
        <v>PP19</v>
      </c>
      <c r="Y806" s="104" t="s">
        <v>2748</v>
      </c>
      <c r="Z806" s="150" t="b">
        <f>AND(CNTR_HasEntriesA,G806="")</f>
        <v>1</v>
      </c>
    </row>
    <row r="807" spans="1:26" ht="26.4" customHeight="1" x14ac:dyDescent="0.3">
      <c r="B807" s="94"/>
      <c r="C807" s="144"/>
      <c r="D807" s="914"/>
      <c r="E807" s="1322" t="str">
        <f ca="1">HYPERLINK("#"&amp;ADDRESS(MATCH($S807,G_FurtherGuidance!$S:$S,0),3,,,G_FurtherGuidance!$U$2),CONST_LinkToGuidanceSheet)</f>
        <v>Please click on this link for further guidance on how to complete this section.</v>
      </c>
      <c r="F807" s="1323"/>
      <c r="G807" s="1323"/>
      <c r="H807" s="1323"/>
      <c r="I807" s="1323"/>
      <c r="J807" s="1323"/>
      <c r="K807" s="1323"/>
      <c r="L807" s="1323"/>
      <c r="M807" s="1323"/>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Cement Bubble</v>
      </c>
      <c r="F820" s="175"/>
      <c r="G820" s="175"/>
      <c r="H820" s="175"/>
      <c r="I820" s="175"/>
      <c r="J820" s="176"/>
      <c r="K820" s="155" t="str">
        <f>IF(E820="","",K817)</f>
        <v/>
      </c>
      <c r="L820" s="29"/>
      <c r="O820" s="945"/>
      <c r="P820" s="94"/>
      <c r="Q820" s="93"/>
      <c r="R820" s="102" t="str">
        <f>CONST_PrecursorToGoodInput&amp;G806 &amp;"_"&amp;E820</f>
        <v>PrecToGood__Cement Bubble</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5"/>
      <c r="F837" s="1325"/>
      <c r="G837" s="1325"/>
      <c r="H837" s="1325"/>
      <c r="I837" s="1325"/>
      <c r="J837" s="1325"/>
      <c r="K837" s="1325"/>
      <c r="L837" s="1325"/>
      <c r="M837" s="1325"/>
      <c r="N837" s="196"/>
      <c r="O837" s="428"/>
      <c r="T837" s="712"/>
    </row>
    <row r="838" spans="1:26" ht="13.2" customHeight="1" x14ac:dyDescent="0.3">
      <c r="B838" s="94"/>
      <c r="C838" s="192"/>
      <c r="D838" s="199"/>
      <c r="E838" s="1308" t="str">
        <f ca="1">HYPERLINK("#"&amp;ADDRESS(MATCH($S838,G_FurtherGuidance!$S:$S,0),3,,,G_FurtherGuidance!$U$2),CONST_LinkToGuidanceSheet)</f>
        <v>Please click on this link for further guidance on how to complete this section.</v>
      </c>
      <c r="F838" s="1309"/>
      <c r="G838" s="1309"/>
      <c r="H838" s="1309"/>
      <c r="I838" s="1309"/>
      <c r="J838" s="1309"/>
      <c r="K838" s="1309"/>
      <c r="L838" s="1309"/>
      <c r="M838" s="1309"/>
      <c r="N838" s="196"/>
      <c r="O838" s="428"/>
      <c r="R838" s="104" t="s">
        <v>2771</v>
      </c>
      <c r="S838" s="105">
        <v>4</v>
      </c>
      <c r="T838" s="712"/>
    </row>
    <row r="839" spans="1:26" ht="4.95" customHeight="1" x14ac:dyDescent="0.3">
      <c r="B839" s="94"/>
      <c r="C839" s="192"/>
      <c r="D839" s="199"/>
      <c r="E839" s="1325"/>
      <c r="F839" s="1325"/>
      <c r="G839" s="1325"/>
      <c r="H839" s="1325"/>
      <c r="I839" s="1325"/>
      <c r="J839" s="1325"/>
      <c r="K839" s="1325"/>
      <c r="L839" s="1325"/>
      <c r="M839" s="1325"/>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6"/>
      <c r="L846" s="1326"/>
      <c r="M846" s="1326"/>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10" t="str">
        <f>IF(INDEX(CNTR_List_ExistPurchPrecNames,MATCH(R850,CNTR_ListPurchPrecID,0))=CONST_NA,"",INDEX(CNTR_List_ExistPurchPrecNames,MATCH(R850,CNTR_ListPurchPrecID,0)))</f>
        <v/>
      </c>
      <c r="H850" s="1311"/>
      <c r="I850" s="1311"/>
      <c r="J850" s="1311"/>
      <c r="K850" s="1312"/>
      <c r="L850" s="1313" t="str">
        <f>IF(INDEX(CNTR_List_ExistPurchPrec,MATCH(R850,CNTR_ListPurchPrecID,0))=CONST_NA,"",INDEX(CNTR_List_ExistPurchPrec,MATCH(R850,CNTR_ListPurchPrecID,0)))</f>
        <v/>
      </c>
      <c r="M850" s="1314"/>
      <c r="N850" s="1315"/>
      <c r="O850" s="428"/>
      <c r="R850" s="149" t="str">
        <f>INDEX(CNTR_ListPurchPrecID,C850)</f>
        <v>PP20</v>
      </c>
      <c r="Y850" s="104" t="s">
        <v>2748</v>
      </c>
      <c r="Z850" s="150" t="b">
        <f>AND(CNTR_HasEntriesA,G850="")</f>
        <v>1</v>
      </c>
    </row>
    <row r="851" spans="1:26" ht="26.4" customHeight="1" x14ac:dyDescent="0.3">
      <c r="B851" s="94"/>
      <c r="C851" s="144"/>
      <c r="D851" s="914"/>
      <c r="E851" s="1322" t="str">
        <f ca="1">HYPERLINK("#"&amp;ADDRESS(MATCH($S851,G_FurtherGuidance!$S:$S,0),3,,,G_FurtherGuidance!$U$2),CONST_LinkToGuidanceSheet)</f>
        <v>Please click on this link for further guidance on how to complete this section.</v>
      </c>
      <c r="F851" s="1323"/>
      <c r="G851" s="1323"/>
      <c r="H851" s="1323"/>
      <c r="I851" s="1323"/>
      <c r="J851" s="1323"/>
      <c r="K851" s="1323"/>
      <c r="L851" s="1323"/>
      <c r="M851" s="1323"/>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Cement Bubble</v>
      </c>
      <c r="F864" s="175"/>
      <c r="G864" s="175"/>
      <c r="H864" s="175"/>
      <c r="I864" s="175"/>
      <c r="J864" s="176"/>
      <c r="K864" s="155" t="str">
        <f>IF(E864="","",K861)</f>
        <v/>
      </c>
      <c r="L864" s="29"/>
      <c r="O864" s="945"/>
      <c r="P864" s="94"/>
      <c r="Q864" s="93"/>
      <c r="R864" s="102" t="str">
        <f>CONST_PrecursorToGoodInput&amp;G850 &amp;"_"&amp;E864</f>
        <v>PrecToGood__Cement Bubble</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5"/>
      <c r="F881" s="1325"/>
      <c r="G881" s="1325"/>
      <c r="H881" s="1325"/>
      <c r="I881" s="1325"/>
      <c r="J881" s="1325"/>
      <c r="K881" s="1325"/>
      <c r="L881" s="1325"/>
      <c r="M881" s="1325"/>
      <c r="N881" s="196"/>
      <c r="O881" s="428"/>
      <c r="T881" s="712"/>
    </row>
    <row r="882" spans="1:26" ht="13.2" customHeight="1" x14ac:dyDescent="0.3">
      <c r="B882" s="94"/>
      <c r="C882" s="192"/>
      <c r="D882" s="199"/>
      <c r="E882" s="1308" t="str">
        <f ca="1">HYPERLINK("#"&amp;ADDRESS(MATCH($S882,G_FurtherGuidance!$S:$S,0),3,,,G_FurtherGuidance!$U$2),CONST_LinkToGuidanceSheet)</f>
        <v>Please click on this link for further guidance on how to complete this section.</v>
      </c>
      <c r="F882" s="1309"/>
      <c r="G882" s="1309"/>
      <c r="H882" s="1309"/>
      <c r="I882" s="1309"/>
      <c r="J882" s="1309"/>
      <c r="K882" s="1309"/>
      <c r="L882" s="1309"/>
      <c r="M882" s="1309"/>
      <c r="N882" s="196"/>
      <c r="O882" s="428"/>
      <c r="R882" s="104" t="s">
        <v>2771</v>
      </c>
      <c r="S882" s="105">
        <v>4</v>
      </c>
      <c r="T882" s="712"/>
    </row>
    <row r="883" spans="1:26" ht="4.95" customHeight="1" x14ac:dyDescent="0.3">
      <c r="B883" s="94"/>
      <c r="C883" s="192"/>
      <c r="D883" s="199"/>
      <c r="E883" s="1325"/>
      <c r="F883" s="1325"/>
      <c r="G883" s="1325"/>
      <c r="H883" s="1325"/>
      <c r="I883" s="1325"/>
      <c r="J883" s="1325"/>
      <c r="K883" s="1325"/>
      <c r="L883" s="1325"/>
      <c r="M883" s="1325"/>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6"/>
      <c r="L890" s="1326"/>
      <c r="M890" s="1326"/>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K846:M846"/>
    <mergeCell ref="E794:M794"/>
    <mergeCell ref="E795:M795"/>
    <mergeCell ref="G674:K674"/>
    <mergeCell ref="L674:N674"/>
    <mergeCell ref="J702:M702"/>
    <mergeCell ref="E705:M705"/>
    <mergeCell ref="E706:M706"/>
    <mergeCell ref="E707:M707"/>
    <mergeCell ref="K714:M714"/>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J350:M350"/>
    <mergeCell ref="E353:M353"/>
    <mergeCell ref="E323:M323"/>
    <mergeCell ref="E354:M354"/>
    <mergeCell ref="E355:M355"/>
    <mergeCell ref="K362:M362"/>
    <mergeCell ref="G366:K366"/>
    <mergeCell ref="L366:N366"/>
    <mergeCell ref="J394:M394"/>
    <mergeCell ref="E397:M397"/>
    <mergeCell ref="E398:M398"/>
    <mergeCell ref="E399:M399"/>
    <mergeCell ref="E367:M367"/>
    <mergeCell ref="K406:M406"/>
    <mergeCell ref="G410:K410"/>
    <mergeCell ref="L410:N410"/>
    <mergeCell ref="J438:M438"/>
    <mergeCell ref="E441:M441"/>
    <mergeCell ref="E442:M442"/>
    <mergeCell ref="E443:M443"/>
    <mergeCell ref="K450:M450"/>
    <mergeCell ref="G454:K454"/>
    <mergeCell ref="E411:M411"/>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4D2616-F88E-4E79-8018-3578A54733F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82e1b5cc-b41c-46a7-9c34-4b58c97ee7b0"/>
    <ds:schemaRef ds:uri="http://schemas.microsoft.com/office/infopath/2007/PartnerControl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